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kamoacopper-my.sharepoint.com/personal/gerardk_kamoacopper_com/Documents/Documents/PUBLICATION_SITE WEB KCSA/"/>
    </mc:Choice>
  </mc:AlternateContent>
  <xr:revisionPtr revIDLastSave="1" documentId="8_{6CD32992-900B-4FEC-978E-D19B606DE970}" xr6:coauthVersionLast="47" xr6:coauthVersionMax="47" xr10:uidLastSave="{897A5EAD-C254-48E5-9D4A-90FBEE5F2F65}"/>
  <bookViews>
    <workbookView xWindow="-108" yWindow="-108" windowWidth="23256" windowHeight="12456" activeTab="1" xr2:uid="{91EDB7B3-0ACE-46C2-90EB-7A2429862384}"/>
  </bookViews>
  <sheets>
    <sheet name="Summary2021-2026" sheetId="5" r:id="rId1"/>
    <sheet name="Monthly mvt2026" sheetId="8" r:id="rId2"/>
    <sheet name="Data" sheetId="7" state="hidden" r:id="rId3"/>
  </sheets>
  <externalReferences>
    <externalReference r:id="rId4"/>
    <externalReference r:id="rId5"/>
  </externalReferences>
  <definedNames>
    <definedName name="_xlnm._FilterDatabase" localSheetId="2" hidden="1">Data!$A$1:$M$44</definedName>
    <definedName name="_xlnm._FilterDatabase" localSheetId="1" hidden="1">'Monthly mvt2026'!$AC$1:$AC$44</definedName>
    <definedName name="_xlnm._FilterDatabase" localSheetId="0" hidden="1">'Summary2021-2026'!$A$4:$AM$4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5" l="1"/>
  <c r="G16" i="8"/>
  <c r="G15" i="8"/>
  <c r="H35" i="8"/>
  <c r="H34" i="8"/>
  <c r="H33" i="8"/>
  <c r="E17" i="8"/>
  <c r="F17" i="8"/>
  <c r="G17" i="8"/>
  <c r="H17" i="8"/>
  <c r="I17" i="8"/>
  <c r="J17" i="8"/>
  <c r="K17" i="8"/>
  <c r="L17" i="8"/>
  <c r="M17" i="8"/>
  <c r="N17" i="8"/>
  <c r="O17" i="8"/>
  <c r="P17" i="8"/>
  <c r="E18" i="8"/>
  <c r="F18" i="8"/>
  <c r="G18" i="8"/>
  <c r="H18" i="8"/>
  <c r="I18" i="8"/>
  <c r="J18" i="8"/>
  <c r="K18" i="8"/>
  <c r="L18" i="8"/>
  <c r="M18" i="8"/>
  <c r="N18" i="8"/>
  <c r="O18" i="8"/>
  <c r="P18" i="8"/>
  <c r="E19" i="8"/>
  <c r="F19" i="8"/>
  <c r="G19" i="8"/>
  <c r="H19" i="8"/>
  <c r="I19" i="8"/>
  <c r="J19" i="8"/>
  <c r="K19" i="8"/>
  <c r="L19" i="8"/>
  <c r="M19" i="8"/>
  <c r="N19" i="8"/>
  <c r="O19" i="8"/>
  <c r="P19" i="8"/>
  <c r="E20" i="8"/>
  <c r="F20" i="8"/>
  <c r="G20" i="8"/>
  <c r="H20" i="8"/>
  <c r="I20" i="8"/>
  <c r="J20" i="8"/>
  <c r="K20" i="8"/>
  <c r="L20" i="8"/>
  <c r="M20" i="8"/>
  <c r="N20" i="8"/>
  <c r="O20" i="8"/>
  <c r="P20" i="8"/>
  <c r="E21" i="8"/>
  <c r="F21" i="8"/>
  <c r="G21" i="8"/>
  <c r="H21" i="8"/>
  <c r="I21" i="8"/>
  <c r="J21" i="8"/>
  <c r="K21" i="8"/>
  <c r="L21" i="8"/>
  <c r="M21" i="8"/>
  <c r="N21" i="8"/>
  <c r="O21" i="8"/>
  <c r="P21" i="8"/>
  <c r="E22" i="8"/>
  <c r="F22" i="8"/>
  <c r="G22" i="8"/>
  <c r="H22" i="8"/>
  <c r="I22" i="8"/>
  <c r="J22" i="8"/>
  <c r="K22" i="8"/>
  <c r="L22" i="8"/>
  <c r="M22" i="8"/>
  <c r="N22" i="8"/>
  <c r="O22" i="8"/>
  <c r="P22" i="8"/>
  <c r="E23" i="8"/>
  <c r="F23" i="8"/>
  <c r="G23" i="8"/>
  <c r="H23" i="8"/>
  <c r="I23" i="8"/>
  <c r="J23" i="8"/>
  <c r="K23" i="8"/>
  <c r="L23" i="8"/>
  <c r="M23" i="8"/>
  <c r="N23" i="8"/>
  <c r="O23" i="8"/>
  <c r="P23" i="8"/>
  <c r="E24" i="8"/>
  <c r="F24" i="8"/>
  <c r="G24" i="8"/>
  <c r="H24" i="8"/>
  <c r="I24" i="8"/>
  <c r="J24" i="8"/>
  <c r="K24" i="8"/>
  <c r="L24" i="8"/>
  <c r="M24" i="8"/>
  <c r="N24" i="8"/>
  <c r="O24" i="8"/>
  <c r="P24" i="8"/>
  <c r="E25" i="8"/>
  <c r="F25" i="8"/>
  <c r="G25" i="8"/>
  <c r="H25" i="8"/>
  <c r="I25" i="8"/>
  <c r="J25" i="8"/>
  <c r="K25" i="8"/>
  <c r="L25" i="8"/>
  <c r="M25" i="8"/>
  <c r="N25" i="8"/>
  <c r="O25" i="8"/>
  <c r="P25" i="8"/>
  <c r="E26" i="8"/>
  <c r="F26" i="8"/>
  <c r="G26" i="8"/>
  <c r="H26" i="8"/>
  <c r="I26" i="8"/>
  <c r="J26" i="8"/>
  <c r="K26" i="8"/>
  <c r="L26" i="8"/>
  <c r="M26" i="8"/>
  <c r="N26" i="8"/>
  <c r="O26" i="8"/>
  <c r="P26" i="8"/>
  <c r="E27" i="8"/>
  <c r="F27" i="8"/>
  <c r="G27" i="8"/>
  <c r="H27" i="8"/>
  <c r="I27" i="8"/>
  <c r="J27" i="8"/>
  <c r="K27" i="8"/>
  <c r="L27" i="8"/>
  <c r="M27" i="8"/>
  <c r="N27" i="8"/>
  <c r="O27" i="8"/>
  <c r="P27" i="8"/>
  <c r="E28" i="8"/>
  <c r="F28" i="8"/>
  <c r="G28" i="8"/>
  <c r="H28" i="8"/>
  <c r="I28" i="8"/>
  <c r="J28" i="8"/>
  <c r="K28" i="8"/>
  <c r="L28" i="8"/>
  <c r="M28" i="8"/>
  <c r="N28" i="8"/>
  <c r="O28" i="8"/>
  <c r="P28" i="8"/>
  <c r="E29" i="8"/>
  <c r="F29" i="8"/>
  <c r="G29" i="8"/>
  <c r="H29" i="8"/>
  <c r="I29" i="8"/>
  <c r="J29" i="8"/>
  <c r="K29" i="8"/>
  <c r="L29" i="8"/>
  <c r="M29" i="8"/>
  <c r="N29" i="8"/>
  <c r="O29" i="8"/>
  <c r="P29" i="8"/>
  <c r="E30" i="8"/>
  <c r="F30" i="8"/>
  <c r="G30" i="8"/>
  <c r="H30" i="8"/>
  <c r="I30" i="8"/>
  <c r="J30" i="8"/>
  <c r="K30" i="8"/>
  <c r="L30" i="8"/>
  <c r="M30" i="8"/>
  <c r="N30" i="8"/>
  <c r="O30" i="8"/>
  <c r="P30" i="8"/>
  <c r="E31" i="8"/>
  <c r="F31" i="8"/>
  <c r="G31" i="8"/>
  <c r="H31" i="8"/>
  <c r="I31" i="8"/>
  <c r="J31" i="8"/>
  <c r="K31" i="8"/>
  <c r="L31" i="8"/>
  <c r="M31" i="8"/>
  <c r="N31" i="8"/>
  <c r="O31" i="8"/>
  <c r="P31" i="8"/>
  <c r="E32" i="8"/>
  <c r="F32" i="8"/>
  <c r="G32" i="8"/>
  <c r="H32" i="8"/>
  <c r="I32" i="8"/>
  <c r="J32" i="8"/>
  <c r="K32" i="8"/>
  <c r="L32" i="8"/>
  <c r="M32" i="8"/>
  <c r="N32" i="8"/>
  <c r="O32" i="8"/>
  <c r="P32" i="8"/>
  <c r="E33" i="8"/>
  <c r="F33" i="8"/>
  <c r="G33" i="8"/>
  <c r="I33" i="8"/>
  <c r="J33" i="8"/>
  <c r="K33" i="8"/>
  <c r="L33" i="8"/>
  <c r="M33" i="8"/>
  <c r="N33" i="8"/>
  <c r="O33" i="8"/>
  <c r="P33" i="8"/>
  <c r="E34" i="8"/>
  <c r="F34" i="8"/>
  <c r="G34" i="8"/>
  <c r="I34" i="8"/>
  <c r="J34" i="8"/>
  <c r="K34" i="8"/>
  <c r="L34" i="8"/>
  <c r="M34" i="8"/>
  <c r="N34" i="8"/>
  <c r="O34" i="8"/>
  <c r="P34" i="8"/>
  <c r="E35" i="8"/>
  <c r="F35" i="8"/>
  <c r="G35" i="8"/>
  <c r="I35" i="8"/>
  <c r="J35" i="8"/>
  <c r="K35" i="8"/>
  <c r="L35" i="8"/>
  <c r="M35" i="8"/>
  <c r="N35" i="8"/>
  <c r="O35" i="8"/>
  <c r="P35" i="8"/>
  <c r="E36" i="8"/>
  <c r="F36" i="8"/>
  <c r="G36" i="8"/>
  <c r="H36" i="8"/>
  <c r="I36" i="8"/>
  <c r="J36" i="8"/>
  <c r="K36" i="8"/>
  <c r="L36" i="8"/>
  <c r="M36" i="8"/>
  <c r="N36" i="8"/>
  <c r="O36" i="8"/>
  <c r="P36" i="8"/>
  <c r="E37" i="8"/>
  <c r="F37" i="8"/>
  <c r="G37" i="8"/>
  <c r="H37" i="8"/>
  <c r="I37" i="8"/>
  <c r="J37" i="8"/>
  <c r="K37" i="8"/>
  <c r="L37" i="8"/>
  <c r="M37" i="8"/>
  <c r="N37" i="8"/>
  <c r="O37" i="8"/>
  <c r="P37" i="8"/>
  <c r="E38" i="8"/>
  <c r="F38" i="8"/>
  <c r="G38" i="8"/>
  <c r="H38" i="8"/>
  <c r="I38" i="8"/>
  <c r="J38" i="8"/>
  <c r="K38" i="8"/>
  <c r="L38" i="8"/>
  <c r="M38" i="8"/>
  <c r="N38" i="8"/>
  <c r="O38" i="8"/>
  <c r="P38" i="8"/>
  <c r="E7" i="8"/>
  <c r="F7" i="8"/>
  <c r="G7" i="8"/>
  <c r="H7" i="8"/>
  <c r="I7" i="8"/>
  <c r="J7" i="8"/>
  <c r="K7" i="8"/>
  <c r="L7" i="8"/>
  <c r="M7" i="8"/>
  <c r="N7" i="8"/>
  <c r="O7" i="8"/>
  <c r="P7" i="8"/>
  <c r="E8" i="8"/>
  <c r="F8" i="8"/>
  <c r="G8" i="8"/>
  <c r="H8" i="8"/>
  <c r="I8" i="8"/>
  <c r="J8" i="8"/>
  <c r="K8" i="8"/>
  <c r="L8" i="8"/>
  <c r="M8" i="8"/>
  <c r="N8" i="8"/>
  <c r="O8" i="8"/>
  <c r="P8" i="8"/>
  <c r="E9" i="8"/>
  <c r="F9" i="8"/>
  <c r="G9" i="8"/>
  <c r="H9" i="8"/>
  <c r="I9" i="8"/>
  <c r="J9" i="8"/>
  <c r="K9" i="8"/>
  <c r="L9" i="8"/>
  <c r="M9" i="8"/>
  <c r="N9" i="8"/>
  <c r="O9" i="8"/>
  <c r="P9" i="8"/>
  <c r="E10" i="8"/>
  <c r="F10" i="8"/>
  <c r="G10" i="8"/>
  <c r="H10" i="8"/>
  <c r="I10" i="8"/>
  <c r="J10" i="8"/>
  <c r="K10" i="8"/>
  <c r="L10" i="8"/>
  <c r="M10" i="8"/>
  <c r="N10" i="8"/>
  <c r="O10" i="8"/>
  <c r="P10" i="8"/>
  <c r="E11" i="8"/>
  <c r="F11" i="8"/>
  <c r="G11" i="8"/>
  <c r="H11" i="8"/>
  <c r="I11" i="8"/>
  <c r="J11" i="8"/>
  <c r="K11" i="8"/>
  <c r="L11" i="8"/>
  <c r="M11" i="8"/>
  <c r="N11" i="8"/>
  <c r="O11" i="8"/>
  <c r="P11" i="8"/>
  <c r="E12" i="8"/>
  <c r="F12" i="8"/>
  <c r="G12" i="8"/>
  <c r="H12" i="8"/>
  <c r="I12" i="8"/>
  <c r="J12" i="8"/>
  <c r="K12" i="8"/>
  <c r="L12" i="8"/>
  <c r="M12" i="8"/>
  <c r="N12" i="8"/>
  <c r="O12" i="8"/>
  <c r="P12" i="8"/>
  <c r="E13" i="8"/>
  <c r="F13" i="8"/>
  <c r="G13" i="8"/>
  <c r="H13" i="8"/>
  <c r="I13" i="8"/>
  <c r="J13" i="8"/>
  <c r="K13" i="8"/>
  <c r="L13" i="8"/>
  <c r="M13" i="8"/>
  <c r="N13" i="8"/>
  <c r="O13" i="8"/>
  <c r="P13" i="8"/>
  <c r="E14" i="8"/>
  <c r="F14" i="8"/>
  <c r="G14" i="8"/>
  <c r="H14" i="8"/>
  <c r="I14" i="8"/>
  <c r="J14" i="8"/>
  <c r="K14" i="8"/>
  <c r="L14" i="8"/>
  <c r="M14" i="8"/>
  <c r="N14" i="8"/>
  <c r="O14" i="8"/>
  <c r="P14" i="8"/>
  <c r="E15" i="8"/>
  <c r="F15" i="8"/>
  <c r="H15" i="8"/>
  <c r="I15" i="8"/>
  <c r="J15" i="8"/>
  <c r="K15" i="8"/>
  <c r="L15" i="8"/>
  <c r="M15" i="8"/>
  <c r="N15" i="8"/>
  <c r="O15" i="8"/>
  <c r="P15" i="8"/>
  <c r="E16" i="8"/>
  <c r="F16" i="8"/>
  <c r="H16" i="8"/>
  <c r="I16" i="8"/>
  <c r="J16" i="8"/>
  <c r="K16" i="8"/>
  <c r="L16" i="8"/>
  <c r="M16" i="8"/>
  <c r="N16" i="8"/>
  <c r="O16" i="8"/>
  <c r="P16" i="8"/>
  <c r="P6" i="8"/>
  <c r="O6" i="8"/>
  <c r="N6" i="8"/>
  <c r="M6" i="8"/>
  <c r="L6" i="8"/>
  <c r="K6" i="8"/>
  <c r="J6" i="8"/>
  <c r="I6" i="8"/>
  <c r="H6" i="8"/>
  <c r="G6" i="8"/>
  <c r="F6" i="8"/>
  <c r="E6" i="8"/>
  <c r="F38" i="5" l="1"/>
  <c r="G38" i="5"/>
  <c r="H38" i="5"/>
  <c r="Q22" i="8"/>
  <c r="J16" i="5" l="1"/>
  <c r="K16" i="5" s="1"/>
  <c r="C3" i="5"/>
  <c r="P40" i="8" l="1"/>
  <c r="O40" i="8"/>
  <c r="M40" i="8"/>
  <c r="L40" i="8"/>
  <c r="K40" i="8"/>
  <c r="J40" i="8"/>
  <c r="I40" i="8"/>
  <c r="H40" i="8"/>
  <c r="G40" i="8"/>
  <c r="F40" i="8"/>
  <c r="E40" i="8"/>
  <c r="Q38" i="8"/>
  <c r="Q36" i="8"/>
  <c r="Q35" i="8"/>
  <c r="Q34" i="8"/>
  <c r="Q33" i="8"/>
  <c r="Q23" i="8"/>
  <c r="Q14" i="8"/>
  <c r="Q13" i="8"/>
  <c r="Q12" i="8"/>
  <c r="Q11" i="8"/>
  <c r="Q9" i="8"/>
  <c r="Q8" i="8"/>
  <c r="J17" i="5" l="1"/>
  <c r="K17" i="5" s="1"/>
  <c r="H29" i="7" l="1"/>
  <c r="G29" i="7" l="1"/>
  <c r="L3" i="7"/>
  <c r="L4" i="7"/>
  <c r="L5" i="7"/>
  <c r="L6" i="7"/>
  <c r="L7" i="7"/>
  <c r="L8" i="7"/>
  <c r="L9" i="7"/>
  <c r="L10" i="7"/>
  <c r="L11" i="7"/>
  <c r="L12" i="7"/>
  <c r="L13" i="7"/>
  <c r="L14" i="7"/>
  <c r="L15" i="7"/>
  <c r="L16" i="7"/>
  <c r="L17" i="7"/>
  <c r="L18" i="7"/>
  <c r="L19" i="7"/>
  <c r="L20" i="7"/>
  <c r="L21" i="7"/>
  <c r="L22" i="7"/>
  <c r="L23" i="7"/>
  <c r="L24" i="7"/>
  <c r="L25" i="7"/>
  <c r="L26" i="7"/>
  <c r="L27" i="7"/>
  <c r="L28" i="7"/>
  <c r="L2" i="7"/>
  <c r="J21" i="7"/>
  <c r="K29" i="7" l="1"/>
  <c r="K3" i="7"/>
  <c r="K6" i="7"/>
  <c r="K7" i="7"/>
  <c r="K9" i="7"/>
  <c r="K10" i="7"/>
  <c r="K11" i="7"/>
  <c r="K12" i="7"/>
  <c r="K13" i="7"/>
  <c r="K14" i="7"/>
  <c r="K15" i="7"/>
  <c r="K16" i="7"/>
  <c r="K17" i="7"/>
  <c r="K18" i="7"/>
  <c r="K19" i="7"/>
  <c r="K21" i="7"/>
  <c r="K22" i="7"/>
  <c r="K23" i="7"/>
  <c r="K24" i="7"/>
  <c r="K25" i="7"/>
  <c r="K26" i="7"/>
  <c r="K27" i="7"/>
  <c r="K28" i="7"/>
  <c r="K2" i="7"/>
  <c r="J29" i="7" l="1"/>
  <c r="I29" i="7"/>
  <c r="L29" i="7" l="1"/>
  <c r="Q32" i="8" l="1"/>
  <c r="J23" i="5" l="1"/>
  <c r="K23" i="5" s="1"/>
  <c r="Q30" i="8" l="1"/>
  <c r="Q27" i="8"/>
  <c r="Q24" i="8"/>
  <c r="Q31" i="8"/>
  <c r="Q28" i="8"/>
  <c r="Q26" i="8"/>
  <c r="Q29" i="8"/>
  <c r="Q17" i="8"/>
  <c r="Q7" i="8"/>
  <c r="Q37" i="8"/>
  <c r="Q10" i="8"/>
  <c r="Q25" i="8"/>
  <c r="Q18" i="8"/>
  <c r="Q19" i="8"/>
  <c r="Q15" i="8"/>
  <c r="Q16" i="8"/>
  <c r="Q20" i="8"/>
  <c r="Q21" i="8"/>
  <c r="Q6" i="8" l="1"/>
  <c r="J5" i="5" s="1"/>
  <c r="N40" i="8"/>
  <c r="J12" i="5"/>
  <c r="K12" i="5" s="1"/>
  <c r="J15" i="5"/>
  <c r="K15" i="5" s="1"/>
  <c r="J9" i="5"/>
  <c r="J10" i="5"/>
  <c r="J34" i="5"/>
  <c r="J24" i="5"/>
  <c r="J13" i="5"/>
  <c r="J14" i="5"/>
  <c r="J7" i="5"/>
  <c r="J33" i="5"/>
  <c r="J20" i="5"/>
  <c r="J25" i="5"/>
  <c r="J26" i="5"/>
  <c r="J28" i="5"/>
  <c r="J19" i="5"/>
  <c r="J36" i="5"/>
  <c r="J18" i="5"/>
  <c r="K18" i="5" s="1"/>
  <c r="J35" i="5"/>
  <c r="J31" i="5"/>
  <c r="J30" i="5"/>
  <c r="J32" i="5"/>
  <c r="J22" i="5"/>
  <c r="K22" i="5" s="1"/>
  <c r="J8" i="5"/>
  <c r="J27" i="5"/>
  <c r="J21" i="5"/>
  <c r="J11" i="5"/>
  <c r="J29" i="5"/>
  <c r="Q40" i="8" l="1"/>
  <c r="K24" i="5"/>
  <c r="K35" i="5"/>
  <c r="K34" i="5"/>
  <c r="K25" i="5"/>
  <c r="K14" i="5"/>
  <c r="K7" i="5"/>
  <c r="K13" i="5"/>
  <c r="K11" i="5"/>
  <c r="K10" i="5"/>
  <c r="K8" i="5"/>
  <c r="K28" i="5"/>
  <c r="K20" i="5"/>
  <c r="K32" i="5"/>
  <c r="J6" i="5"/>
  <c r="K9" i="5"/>
  <c r="K21" i="5"/>
  <c r="K33" i="5"/>
  <c r="K19" i="5"/>
  <c r="K29" i="5"/>
  <c r="K30" i="5"/>
  <c r="K27" i="5"/>
  <c r="K31" i="5"/>
  <c r="K36" i="5"/>
  <c r="K26" i="5"/>
  <c r="J38" i="5" l="1"/>
  <c r="K5" i="5"/>
  <c r="K6" i="5"/>
  <c r="K38" i="5" l="1"/>
</calcChain>
</file>

<file path=xl/sharedStrings.xml><?xml version="1.0" encoding="utf-8"?>
<sst xmlns="http://schemas.openxmlformats.org/spreadsheetml/2006/main" count="385" uniqueCount="94">
  <si>
    <t>Annual surface area fees</t>
  </si>
  <si>
    <t>Blasting authaurization</t>
  </si>
  <si>
    <t xml:space="preserve">Corporate Income Tax Prepayment </t>
  </si>
  <si>
    <t>Environmental Tax</t>
  </si>
  <si>
    <t>Import &amp; export registration</t>
  </si>
  <si>
    <t>Mine police security</t>
  </si>
  <si>
    <t xml:space="preserve">National Body for Employee Training </t>
  </si>
  <si>
    <t>ONEM fees</t>
  </si>
  <si>
    <t>Personal Income Tax</t>
  </si>
  <si>
    <t>Social Security Contribution</t>
  </si>
  <si>
    <t>Road worthiness test</t>
  </si>
  <si>
    <t>Tax on communication (VSAT,etc)</t>
  </si>
  <si>
    <t>VAT retained on public compagnies</t>
  </si>
  <si>
    <t>Withholding Tax on Rental</t>
  </si>
  <si>
    <t>Deforestation tax</t>
  </si>
  <si>
    <t>14% Withholding Tax (Foreign IBP)</t>
  </si>
  <si>
    <t>Corporate Income Tax</t>
  </si>
  <si>
    <t>Tax on mining surface</t>
  </si>
  <si>
    <t>Tax on vehicles</t>
  </si>
  <si>
    <t>Community developpement (0,3%)</t>
  </si>
  <si>
    <t>Other Minors</t>
  </si>
  <si>
    <t>Withholding Tax</t>
  </si>
  <si>
    <t>Corporate Tax</t>
  </si>
  <si>
    <t>Payroll Tax</t>
  </si>
  <si>
    <t>VAT</t>
  </si>
  <si>
    <t>Categoty</t>
  </si>
  <si>
    <t>French description</t>
  </si>
  <si>
    <t>Description</t>
  </si>
  <si>
    <t>N°</t>
  </si>
  <si>
    <t>Renouvellement numéro Import-Export</t>
  </si>
  <si>
    <t>Contribution à L'Institut National de Sécurité Sociale(INSS)</t>
  </si>
  <si>
    <t>Contrôle technique</t>
  </si>
  <si>
    <t>Taxe de deboisement</t>
  </si>
  <si>
    <t>Impôt sur les bénéfices et profits des non Résidents</t>
  </si>
  <si>
    <t>Cotisation INPP</t>
  </si>
  <si>
    <t>CotisationONEM</t>
  </si>
  <si>
    <t>Impôt sur les véhicules</t>
  </si>
  <si>
    <t>contribution aux projets de
développement communautaire</t>
  </si>
  <si>
    <t>Droits superficiaires Annuels (DSA)</t>
  </si>
  <si>
    <t>Autorisation de minange,de transport et stockage des explosifs</t>
  </si>
  <si>
    <t>Taxe environnementale (TRA,TAPO,TI)</t>
  </si>
  <si>
    <t>Taxe de gardiennage par la  Police des Mines et Hydrocarbures (PNMH)</t>
  </si>
  <si>
    <t>Impôt sur les remunérations professionnelles (IPR &amp; IERE)</t>
  </si>
  <si>
    <t>TVA retenue a la source sur les entreprises publiques</t>
  </si>
  <si>
    <t>Impôt sur les bénéfices et Profits (IBP)</t>
  </si>
  <si>
    <t>Impôt sur les concessions minières (ICM)</t>
  </si>
  <si>
    <t>TOTAL</t>
  </si>
  <si>
    <t>Acompte provisionnel (IBP)</t>
  </si>
  <si>
    <t>Impôt sur la retenue locative</t>
  </si>
  <si>
    <t>Withholding Tax on rental</t>
  </si>
  <si>
    <t>Poste,Télécommunication et Nouvelles Technologies de l'info (PTNTIC)</t>
  </si>
  <si>
    <t>Curr.</t>
  </si>
  <si>
    <t>USD</t>
  </si>
  <si>
    <t>Direction Generale Des Impots (DGI)</t>
  </si>
  <si>
    <t>Cadastre Minier (CAMI)</t>
  </si>
  <si>
    <t>Direction Générale Des Recettes Administratives, Judiciaires, Domaniales Et De Participations (DGRAD)</t>
  </si>
  <si>
    <t>Direction de Recettes du Lualaba (DRLU)</t>
  </si>
  <si>
    <t>Fonds Forestier National</t>
  </si>
  <si>
    <t>Communautés locales</t>
  </si>
  <si>
    <t>Institut National de Préparation Professionnelle (INPP)</t>
  </si>
  <si>
    <t>Office National de l'emploi (ONEM)</t>
  </si>
  <si>
    <t>Caisse Nationale de Sécurité sociale (CNSS)</t>
  </si>
  <si>
    <t>State department</t>
  </si>
  <si>
    <t>Mining royalties-DGRAD</t>
  </si>
  <si>
    <t>Redevance minière -DGRAD</t>
  </si>
  <si>
    <t>Mining royalties-DRLU</t>
  </si>
  <si>
    <t>Redevance minière -DRLU</t>
  </si>
  <si>
    <t>Mining royalties-FOMIN</t>
  </si>
  <si>
    <t>Redevance minière -FOMIN</t>
  </si>
  <si>
    <t>Mining royalties-ETD</t>
  </si>
  <si>
    <t>Redevance minière -ETD</t>
  </si>
  <si>
    <t>Mining royalties-FONAREV</t>
  </si>
  <si>
    <t>Redevance minière -FONAREV</t>
  </si>
  <si>
    <t>Fonds Minier pour les générations futures (FOMIN)</t>
  </si>
  <si>
    <t>Entité Territoriale Décentralisée (ETD)</t>
  </si>
  <si>
    <t>Fonds National des Réparations des Victimes</t>
  </si>
  <si>
    <t>Mining royalty</t>
  </si>
  <si>
    <t>Description (Taxe)</t>
  </si>
  <si>
    <t>Bénéficiaire</t>
  </si>
  <si>
    <t>Dévise</t>
  </si>
  <si>
    <t>Impôt sur les concessions minières et d’hydrocarbure (ICM)</t>
  </si>
  <si>
    <t>Cotisation ONEM</t>
  </si>
  <si>
    <t>Redevance sur les Concessions Ordinnaires (RCO)</t>
  </si>
  <si>
    <t>Visa d'etablissement de travail</t>
  </si>
  <si>
    <t>Carte de résident</t>
  </si>
  <si>
    <t>Dividendes</t>
  </si>
  <si>
    <t>Impôt mobilier</t>
  </si>
  <si>
    <t>Updated period :</t>
  </si>
  <si>
    <t>Rapport trimestriel faisant état des paiements opérés en faveur des services publics en charge de la collecte des impôts, droits de douane et accises ainsi que des taxes, droits et redevances au niverau national et provincial, des entités territoriales décentralisées ainsi que pour le développement communautaire (article 25 quinquies du règlement minier révisé);</t>
  </si>
  <si>
    <t>FONAREV</t>
  </si>
  <si>
    <t>Contribution à la Caisse Nationale de Sécurité Sociale(CNSS)</t>
  </si>
  <si>
    <t>Impôt exceptionnel sur les remunérations des expatriés (IERE)</t>
  </si>
  <si>
    <t>Impôt sur les remunérations professionnelles (IPR)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</si>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</sst>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7" x14ac:knownFonts="1">
    <font>
      <sz val="11"/>
      <color theme="1"/>
      <name val="Aptos Narrow"/>
      <family val="2"/>
      <scheme val="minor"/>
    </font>
    <font>
      <sz val="11"/>
      <color theme="1"/>
      <name val="Aptos Narrow"/>
      <family val="2"/>
      <scheme val="minor"/>
    </font>
    <font>
      <b/>
      <sz val="11"/>
      <color theme="1"/>
      <name val="Candara"/>
      <family val="2"/>
    </font>
    <font>
      <sz val="11"/>
      <color theme="1"/>
      <name val="Candara"/>
      <family val="2"/>
    </font>
    <font>
      <sz val="8"/>
      <name val="Aptos Narrow"/>
      <family val="2"/>
      <scheme val="minor"/>
    </font>
    <font>
      <i/>
      <sz val="11"/>
      <color theme="1"/>
      <name val="Candara"/>
      <family val="2"/>
    </font>
    <font>
      <b/>
      <i/>
      <sz val="11"/>
      <color theme="1"/>
      <name val="Candara"/>
      <family val="2"/>
    </font>
  </fonts>
  <fills count="10">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47">
    <xf numFmtId="0" fontId="0" fillId="0" borderId="0" xfId="0"/>
    <xf numFmtId="0" fontId="2" fillId="2" borderId="1" xfId="0" applyFont="1" applyFill="1" applyBorder="1"/>
    <xf numFmtId="0" fontId="2" fillId="2" borderId="0" xfId="0" applyFont="1" applyFill="1"/>
    <xf numFmtId="0" fontId="3" fillId="2" borderId="1" xfId="0" applyFont="1" applyFill="1" applyBorder="1"/>
    <xf numFmtId="0" fontId="3" fillId="2" borderId="0" xfId="0" applyFont="1" applyFill="1"/>
    <xf numFmtId="0" fontId="3" fillId="2" borderId="1" xfId="0" applyFont="1" applyFill="1" applyBorder="1" applyAlignment="1">
      <alignment wrapText="1"/>
    </xf>
    <xf numFmtId="0" fontId="2" fillId="3" borderId="1" xfId="0" applyFont="1" applyFill="1" applyBorder="1"/>
    <xf numFmtId="165" fontId="3" fillId="2" borderId="1" xfId="1" applyNumberFormat="1" applyFont="1" applyFill="1" applyBorder="1"/>
    <xf numFmtId="165" fontId="2" fillId="2" borderId="1" xfId="1" applyNumberFormat="1" applyFont="1" applyFill="1" applyBorder="1"/>
    <xf numFmtId="4" fontId="3" fillId="2" borderId="0" xfId="0" applyNumberFormat="1" applyFont="1" applyFill="1"/>
    <xf numFmtId="164" fontId="3" fillId="2" borderId="0" xfId="0" applyNumberFormat="1" applyFont="1" applyFill="1"/>
    <xf numFmtId="164" fontId="2" fillId="2" borderId="0" xfId="1" applyFont="1" applyFill="1"/>
    <xf numFmtId="164" fontId="3" fillId="2" borderId="0" xfId="1" applyFont="1" applyFill="1"/>
    <xf numFmtId="165" fontId="3" fillId="2" borderId="0" xfId="1" applyNumberFormat="1" applyFont="1" applyFill="1"/>
    <xf numFmtId="165" fontId="2" fillId="2" borderId="0" xfId="1" applyNumberFormat="1" applyFont="1" applyFill="1"/>
    <xf numFmtId="165" fontId="3" fillId="2" borderId="0" xfId="0" applyNumberFormat="1" applyFont="1" applyFill="1"/>
    <xf numFmtId="17" fontId="2" fillId="3" borderId="1" xfId="0" applyNumberFormat="1" applyFont="1" applyFill="1" applyBorder="1"/>
    <xf numFmtId="0" fontId="2" fillId="2" borderId="0" xfId="0" applyFont="1" applyFill="1" applyAlignment="1">
      <alignment horizontal="center"/>
    </xf>
    <xf numFmtId="0" fontId="2" fillId="2" borderId="0" xfId="0" applyFont="1" applyFill="1" applyAlignment="1">
      <alignment horizontal="left" vertical="top" wrapText="1"/>
    </xf>
    <xf numFmtId="165" fontId="2" fillId="2" borderId="0" xfId="0" applyNumberFormat="1" applyFont="1" applyFill="1"/>
    <xf numFmtId="0" fontId="5" fillId="2" borderId="0" xfId="0" applyFont="1" applyFill="1"/>
    <xf numFmtId="0" fontId="6" fillId="2" borderId="0" xfId="0" applyFont="1" applyFill="1" applyAlignment="1">
      <alignment horizontal="right"/>
    </xf>
    <xf numFmtId="17" fontId="5" fillId="2" borderId="0" xfId="0" applyNumberFormat="1" applyFont="1" applyFill="1" applyAlignment="1">
      <alignment horizontal="left"/>
    </xf>
    <xf numFmtId="17" fontId="6" fillId="2" borderId="0" xfId="0" applyNumberFormat="1" applyFont="1" applyFill="1"/>
    <xf numFmtId="165" fontId="5" fillId="2" borderId="0" xfId="1" applyNumberFormat="1" applyFont="1" applyFill="1"/>
    <xf numFmtId="0" fontId="3" fillId="4" borderId="1" xfId="0" applyFont="1" applyFill="1" applyBorder="1"/>
    <xf numFmtId="165" fontId="3" fillId="4" borderId="1" xfId="1" applyNumberFormat="1" applyFont="1" applyFill="1" applyBorder="1"/>
    <xf numFmtId="165" fontId="2" fillId="4" borderId="1" xfId="1" applyNumberFormat="1" applyFont="1" applyFill="1" applyBorder="1"/>
    <xf numFmtId="0" fontId="3" fillId="4" borderId="0" xfId="0" applyFont="1" applyFill="1"/>
    <xf numFmtId="165" fontId="3" fillId="4" borderId="0" xfId="1" applyNumberFormat="1" applyFont="1" applyFill="1"/>
    <xf numFmtId="165" fontId="2" fillId="4" borderId="0" xfId="1" applyNumberFormat="1" applyFont="1" applyFill="1"/>
    <xf numFmtId="0" fontId="2" fillId="4" borderId="0" xfId="0" applyFont="1" applyFill="1"/>
    <xf numFmtId="0" fontId="2" fillId="2" borderId="2" xfId="0" applyFont="1" applyFill="1" applyBorder="1" applyAlignment="1">
      <alignment horizontal="left" wrapText="1"/>
    </xf>
    <xf numFmtId="165" fontId="3" fillId="5" borderId="1" xfId="1" applyNumberFormat="1" applyFont="1" applyFill="1" applyBorder="1"/>
    <xf numFmtId="165" fontId="2" fillId="5" borderId="1" xfId="1" applyNumberFormat="1" applyFont="1" applyFill="1" applyBorder="1"/>
    <xf numFmtId="165" fontId="3" fillId="6" borderId="1" xfId="1" applyNumberFormat="1" applyFont="1" applyFill="1" applyBorder="1"/>
    <xf numFmtId="165" fontId="2" fillId="6" borderId="1" xfId="1" applyNumberFormat="1" applyFont="1" applyFill="1" applyBorder="1"/>
    <xf numFmtId="165" fontId="3" fillId="7" borderId="1" xfId="1" applyNumberFormat="1" applyFont="1" applyFill="1" applyBorder="1"/>
    <xf numFmtId="165" fontId="2" fillId="7" borderId="1" xfId="1" applyNumberFormat="1" applyFont="1" applyFill="1" applyBorder="1"/>
    <xf numFmtId="165" fontId="3" fillId="8" borderId="1" xfId="1" applyNumberFormat="1" applyFont="1" applyFill="1" applyBorder="1"/>
    <xf numFmtId="165" fontId="2" fillId="8" borderId="1" xfId="1" applyNumberFormat="1" applyFont="1" applyFill="1" applyBorder="1"/>
    <xf numFmtId="0" fontId="2" fillId="2" borderId="0" xfId="0" applyFont="1" applyFill="1" applyAlignment="1">
      <alignment horizontal="left" wrapText="1"/>
    </xf>
    <xf numFmtId="0" fontId="2" fillId="2" borderId="2" xfId="0" applyFont="1" applyFill="1" applyBorder="1" applyAlignment="1">
      <alignment horizontal="left" wrapText="1"/>
    </xf>
    <xf numFmtId="0" fontId="3" fillId="9" borderId="0" xfId="0" applyFont="1" applyFill="1"/>
    <xf numFmtId="165" fontId="3" fillId="9" borderId="0" xfId="1" applyNumberFormat="1" applyFont="1" applyFill="1"/>
    <xf numFmtId="165" fontId="2" fillId="9" borderId="0" xfId="1" applyNumberFormat="1" applyFont="1" applyFill="1"/>
    <xf numFmtId="0" fontId="2" fillId="9" borderId="0" xfId="0"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3530079</xdr:colOff>
      <xdr:row>0</xdr:row>
      <xdr:rowOff>845820</xdr:rowOff>
    </xdr:to>
    <xdr:pic>
      <xdr:nvPicPr>
        <xdr:cNvPr id="3" name="Picture 2">
          <a:extLst>
            <a:ext uri="{FF2B5EF4-FFF2-40B4-BE49-F238E27FC236}">
              <a16:creationId xmlns:a16="http://schemas.microsoft.com/office/drawing/2014/main" id="{C1D2A97D-F9E8-4DEF-9F3F-E242C1BC7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2060" y="0"/>
          <a:ext cx="3530079" cy="845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327659</xdr:colOff>
      <xdr:row>0</xdr:row>
      <xdr:rowOff>0</xdr:rowOff>
    </xdr:from>
    <xdr:to>
      <xdr:col>7</xdr:col>
      <xdr:colOff>67008</xdr:colOff>
      <xdr:row>3</xdr:row>
      <xdr:rowOff>144780</xdr:rowOff>
    </xdr:to>
    <xdr:pic>
      <xdr:nvPicPr>
        <xdr:cNvPr id="3" name="Picture 2">
          <a:extLst>
            <a:ext uri="{FF2B5EF4-FFF2-40B4-BE49-F238E27FC236}">
              <a16:creationId xmlns:a16="http://schemas.microsoft.com/office/drawing/2014/main" id="{E33410CC-E1CF-4F1A-9146-C276862F3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9499" y="0"/>
          <a:ext cx="2894029"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atrickmuk_kamoacopper_com/Documents/Documents/KAMCO%20SA-2026/TAXE%202026/Report%202026/Taxes%20paid-KAMCO%20SA-2026.xlsx" TargetMode="External"/><Relationship Id="rId2" Type="http://schemas.openxmlformats.org/officeDocument/2006/relationships/externalLinkPath" Target="https://kamoacopper-my.sharepoint.com/personal/patrickmuk_kamoacopper_com/Documents/Documents/KAMCO%20SA-2026/TAXE%202026/Report%202026/Taxes%20paid-KAMCO%20SA-2026.xlsx" TargetMode="External"/><Relationship Id="rId1" Type="http://schemas.openxmlformats.org/officeDocument/2006/relationships/externalLinkPath" Target="/personal/patrickmuk_kamoacopper_com/Documents/Documents/KAMCO%20SA-2026/TAXE%202026/Report%202026/Taxes%20paid-KAMCO%20SA-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PatrickMuk/OneDrive%20-%20kamoacopper.com/Documents/KAMCO%20SA-2025/TAXE%202025/Report%202025/Taxes%20paid-KAMCO%20SA-2025.xlsx" TargetMode="External"/><Relationship Id="rId1" Type="http://schemas.openxmlformats.org/officeDocument/2006/relationships/externalLinkPath" Target="/Users/PatrickMuk/OneDrive%20-%20kamoacopper.com/Documents/KAMCO%20SA-2025/TAXE%202025/Report%202025/Taxes%20paid-KAMCO%20SA-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Other List"/>
      <sheetName val="Tax list"/>
      <sheetName val="1013-Tax Calendar_Year 2021"/>
      <sheetName val="Split state dept"/>
      <sheetName val="Summary"/>
      <sheetName val="Sheet2"/>
      <sheetName val="Data"/>
      <sheetName val="Payroll Tax"/>
      <sheetName val="Corporate Tax"/>
      <sheetName val="penalty"/>
      <sheetName val="Withholding"/>
      <sheetName val="Minor"/>
      <sheetName val="VAT"/>
      <sheetName val="GL bank"/>
      <sheetName val="Sheet1"/>
      <sheetName val="Tax prepayments"/>
    </sheetNames>
    <sheetDataSet>
      <sheetData sheetId="0"/>
      <sheetData sheetId="1"/>
      <sheetData sheetId="2"/>
      <sheetData sheetId="3"/>
      <sheetData sheetId="4">
        <row r="4">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row>
        <row r="5">
          <cell r="C5">
            <v>1</v>
          </cell>
          <cell r="D5">
            <v>2</v>
          </cell>
          <cell r="E5">
            <v>3</v>
          </cell>
          <cell r="F5">
            <v>1</v>
          </cell>
          <cell r="G5">
            <v>2</v>
          </cell>
          <cell r="H5">
            <v>3</v>
          </cell>
          <cell r="I5">
            <v>4</v>
          </cell>
          <cell r="J5">
            <v>5</v>
          </cell>
          <cell r="K5">
            <v>6</v>
          </cell>
          <cell r="L5">
            <v>7</v>
          </cell>
          <cell r="M5">
            <v>8</v>
          </cell>
          <cell r="N5">
            <v>9</v>
          </cell>
          <cell r="O5">
            <v>10</v>
          </cell>
          <cell r="P5">
            <v>11</v>
          </cell>
          <cell r="Q5">
            <v>12</v>
          </cell>
        </row>
        <row r="6">
          <cell r="C6" t="str">
            <v>Tax Obligation (French)</v>
          </cell>
          <cell r="D6" t="str">
            <v>State department</v>
          </cell>
          <cell r="E6" t="str">
            <v>Currency</v>
          </cell>
          <cell r="F6">
            <v>46023</v>
          </cell>
          <cell r="G6">
            <v>46054</v>
          </cell>
          <cell r="H6">
            <v>46082</v>
          </cell>
          <cell r="I6">
            <v>46113</v>
          </cell>
          <cell r="J6">
            <v>46143</v>
          </cell>
          <cell r="K6">
            <v>46174</v>
          </cell>
          <cell r="L6">
            <v>46204</v>
          </cell>
          <cell r="M6">
            <v>46235</v>
          </cell>
          <cell r="N6">
            <v>46266</v>
          </cell>
          <cell r="O6">
            <v>46296</v>
          </cell>
          <cell r="P6">
            <v>46327</v>
          </cell>
          <cell r="Q6">
            <v>46357</v>
          </cell>
          <cell r="S6" t="str">
            <v>YTD</v>
          </cell>
        </row>
        <row r="7">
          <cell r="C7" t="str">
            <v>Impôt sur les bénéfices et profits des non Résidents</v>
          </cell>
          <cell r="D7" t="str">
            <v>Direction Generale Des Impots (DGI)</v>
          </cell>
          <cell r="E7" t="str">
            <v>USD</v>
          </cell>
          <cell r="F7">
            <v>435604.59</v>
          </cell>
          <cell r="G7">
            <v>329630.36</v>
          </cell>
          <cell r="H7">
            <v>24738.880000000001</v>
          </cell>
          <cell r="I7">
            <v>40155.550000000003</v>
          </cell>
          <cell r="J7">
            <v>0</v>
          </cell>
          <cell r="K7">
            <v>0</v>
          </cell>
          <cell r="L7">
            <v>0</v>
          </cell>
          <cell r="M7">
            <v>0</v>
          </cell>
          <cell r="N7">
            <v>0</v>
          </cell>
          <cell r="O7">
            <v>0</v>
          </cell>
          <cell r="P7">
            <v>0</v>
          </cell>
          <cell r="Q7">
            <v>0</v>
          </cell>
          <cell r="S7">
            <v>830129.38</v>
          </cell>
        </row>
        <row r="8">
          <cell r="C8" t="str">
            <v>Acompte provisionnel (IBP)</v>
          </cell>
          <cell r="D8" t="str">
            <v>Direction Generale Des Impots (DGI)</v>
          </cell>
          <cell r="E8" t="str">
            <v>USD</v>
          </cell>
          <cell r="F8">
            <v>0</v>
          </cell>
          <cell r="G8">
            <v>0</v>
          </cell>
          <cell r="H8">
            <v>0</v>
          </cell>
          <cell r="I8">
            <v>0</v>
          </cell>
          <cell r="J8">
            <v>0</v>
          </cell>
          <cell r="K8">
            <v>0</v>
          </cell>
          <cell r="L8">
            <v>0</v>
          </cell>
          <cell r="M8">
            <v>0</v>
          </cell>
          <cell r="N8">
            <v>0</v>
          </cell>
          <cell r="O8">
            <v>0</v>
          </cell>
          <cell r="P8">
            <v>0</v>
          </cell>
          <cell r="Q8">
            <v>0</v>
          </cell>
          <cell r="S8">
            <v>0</v>
          </cell>
        </row>
        <row r="9">
          <cell r="C9" t="str">
            <v>Impôt sur les bénéfices et Profits (IBP)</v>
          </cell>
          <cell r="D9" t="str">
            <v>Direction Generale Des Impots (DGI)</v>
          </cell>
          <cell r="E9" t="str">
            <v>USD</v>
          </cell>
          <cell r="F9">
            <v>0</v>
          </cell>
          <cell r="G9">
            <v>0</v>
          </cell>
          <cell r="H9">
            <v>0</v>
          </cell>
          <cell r="I9">
            <v>0</v>
          </cell>
          <cell r="J9">
            <v>0</v>
          </cell>
          <cell r="K9">
            <v>0</v>
          </cell>
          <cell r="L9">
            <v>0</v>
          </cell>
          <cell r="M9">
            <v>0</v>
          </cell>
          <cell r="N9">
            <v>0</v>
          </cell>
          <cell r="O9">
            <v>0</v>
          </cell>
          <cell r="P9">
            <v>0</v>
          </cell>
          <cell r="Q9">
            <v>0</v>
          </cell>
          <cell r="S9">
            <v>0</v>
          </cell>
        </row>
        <row r="10">
          <cell r="C10" t="str">
            <v>Pénalités et redressement (DGI)</v>
          </cell>
          <cell r="D10" t="str">
            <v>Direction Generale Des Impots (DGI)</v>
          </cell>
          <cell r="E10" t="str">
            <v>USD</v>
          </cell>
          <cell r="F10">
            <v>0</v>
          </cell>
          <cell r="G10">
            <v>0</v>
          </cell>
          <cell r="H10">
            <v>0</v>
          </cell>
          <cell r="I10">
            <v>49980758.920000002</v>
          </cell>
          <cell r="J10">
            <v>0</v>
          </cell>
          <cell r="K10">
            <v>0</v>
          </cell>
          <cell r="L10">
            <v>0</v>
          </cell>
          <cell r="M10">
            <v>0</v>
          </cell>
          <cell r="N10">
            <v>0</v>
          </cell>
          <cell r="O10">
            <v>0</v>
          </cell>
          <cell r="P10">
            <v>0</v>
          </cell>
          <cell r="Q10">
            <v>0</v>
          </cell>
          <cell r="S10">
            <v>49980758.920000002</v>
          </cell>
        </row>
        <row r="11">
          <cell r="C11" t="str">
            <v>Pénalités et redressement (DGRAD)</v>
          </cell>
          <cell r="D11" t="str">
            <v>Direction Générale Des Recettes Administratives, Judiciaires, Domaniales Et De Participations (DGRAD)</v>
          </cell>
          <cell r="E11" t="str">
            <v>USD</v>
          </cell>
          <cell r="F11">
            <v>57260.34</v>
          </cell>
          <cell r="G11">
            <v>4552.04</v>
          </cell>
          <cell r="H11">
            <v>0</v>
          </cell>
          <cell r="I11">
            <v>103316</v>
          </cell>
          <cell r="J11">
            <v>0</v>
          </cell>
          <cell r="K11">
            <v>0</v>
          </cell>
          <cell r="L11">
            <v>0</v>
          </cell>
          <cell r="M11">
            <v>0</v>
          </cell>
          <cell r="N11">
            <v>0</v>
          </cell>
          <cell r="O11">
            <v>0</v>
          </cell>
          <cell r="P11">
            <v>0</v>
          </cell>
          <cell r="Q11">
            <v>0</v>
          </cell>
          <cell r="S11">
            <v>165128.38</v>
          </cell>
        </row>
        <row r="12">
          <cell r="C12" t="str">
            <v>Pénalités et redressement (DGDA)</v>
          </cell>
          <cell r="D12" t="str">
            <v>Direction Générale Des Recettes Administratives, Judiciaires, Domaniales Et De Participations (DGRAD)</v>
          </cell>
          <cell r="E12" t="str">
            <v>USD</v>
          </cell>
          <cell r="F12">
            <v>9997643.6999999993</v>
          </cell>
          <cell r="G12">
            <v>0</v>
          </cell>
          <cell r="H12">
            <v>0</v>
          </cell>
          <cell r="I12">
            <v>0</v>
          </cell>
          <cell r="J12">
            <v>0</v>
          </cell>
          <cell r="K12">
            <v>0</v>
          </cell>
          <cell r="L12">
            <v>0</v>
          </cell>
          <cell r="M12">
            <v>0</v>
          </cell>
          <cell r="N12">
            <v>0</v>
          </cell>
          <cell r="O12">
            <v>0</v>
          </cell>
          <cell r="P12">
            <v>0</v>
          </cell>
          <cell r="Q12">
            <v>0</v>
          </cell>
          <cell r="S12">
            <v>9997643.6999999993</v>
          </cell>
        </row>
        <row r="13">
          <cell r="C13" t="str">
            <v>Pénalités BCC et autres</v>
          </cell>
          <cell r="D13" t="str">
            <v>BCC</v>
          </cell>
          <cell r="E13" t="str">
            <v>USD</v>
          </cell>
          <cell r="F13">
            <v>245097.45</v>
          </cell>
          <cell r="G13">
            <v>0</v>
          </cell>
          <cell r="H13">
            <v>482266.2</v>
          </cell>
          <cell r="I13">
            <v>0</v>
          </cell>
          <cell r="J13">
            <v>0</v>
          </cell>
          <cell r="K13">
            <v>0</v>
          </cell>
          <cell r="L13">
            <v>0</v>
          </cell>
          <cell r="M13">
            <v>0</v>
          </cell>
          <cell r="N13">
            <v>0</v>
          </cell>
          <cell r="O13">
            <v>0</v>
          </cell>
          <cell r="P13">
            <v>0</v>
          </cell>
          <cell r="Q13">
            <v>0</v>
          </cell>
        </row>
        <row r="14">
          <cell r="C14" t="str">
            <v>Cotisation INPP</v>
          </cell>
          <cell r="D14" t="str">
            <v>Institut National de Préparation Professionnelle (INPP)</v>
          </cell>
          <cell r="E14" t="str">
            <v>USD</v>
          </cell>
          <cell r="F14">
            <v>441520.93</v>
          </cell>
          <cell r="G14">
            <v>328694.62</v>
          </cell>
          <cell r="H14">
            <v>397682.82</v>
          </cell>
          <cell r="I14">
            <v>317131.63</v>
          </cell>
          <cell r="J14">
            <v>0</v>
          </cell>
          <cell r="K14">
            <v>0</v>
          </cell>
          <cell r="L14">
            <v>0</v>
          </cell>
          <cell r="M14">
            <v>0</v>
          </cell>
          <cell r="N14">
            <v>0</v>
          </cell>
          <cell r="O14">
            <v>0</v>
          </cell>
          <cell r="P14">
            <v>0</v>
          </cell>
          <cell r="Q14">
            <v>0</v>
          </cell>
          <cell r="S14">
            <v>1485030</v>
          </cell>
        </row>
        <row r="15">
          <cell r="C15" t="str">
            <v>Cotisation ONEM</v>
          </cell>
          <cell r="D15" t="str">
            <v>Office National de l'emploi (ONEM)</v>
          </cell>
          <cell r="E15" t="str">
            <v>USD</v>
          </cell>
          <cell r="F15">
            <v>220760.47</v>
          </cell>
          <cell r="G15">
            <v>82173.66</v>
          </cell>
          <cell r="H15">
            <v>99420.7</v>
          </cell>
          <cell r="I15">
            <v>79282.91</v>
          </cell>
          <cell r="J15">
            <v>0</v>
          </cell>
          <cell r="K15">
            <v>0</v>
          </cell>
          <cell r="L15">
            <v>0</v>
          </cell>
          <cell r="M15">
            <v>0</v>
          </cell>
          <cell r="N15">
            <v>0</v>
          </cell>
          <cell r="O15">
            <v>0</v>
          </cell>
          <cell r="P15">
            <v>0</v>
          </cell>
          <cell r="Q15">
            <v>0</v>
          </cell>
          <cell r="S15">
            <v>481637.74</v>
          </cell>
        </row>
        <row r="16">
          <cell r="C16" t="str">
            <v>Contribution à la Caisse Nationale de Sécurité Sociale(CNSS)</v>
          </cell>
          <cell r="D16" t="str">
            <v>Caisse Nationale de Sécurité sociale (CNSS)</v>
          </cell>
          <cell r="E16" t="str">
            <v>USD</v>
          </cell>
          <cell r="F16">
            <v>7947376.7699999996</v>
          </cell>
          <cell r="G16">
            <v>2958251.58</v>
          </cell>
          <cell r="H16">
            <v>3579145.35</v>
          </cell>
          <cell r="I16">
            <v>3577174.77</v>
          </cell>
          <cell r="J16">
            <v>0</v>
          </cell>
          <cell r="K16">
            <v>0</v>
          </cell>
          <cell r="L16">
            <v>0</v>
          </cell>
          <cell r="M16">
            <v>0</v>
          </cell>
          <cell r="N16">
            <v>0</v>
          </cell>
          <cell r="O16">
            <v>0</v>
          </cell>
          <cell r="P16">
            <v>0</v>
          </cell>
          <cell r="Q16">
            <v>0</v>
          </cell>
          <cell r="S16">
            <v>18061948.469999999</v>
          </cell>
        </row>
        <row r="17">
          <cell r="C17" t="str">
            <v>Impôt sur les remunérations professionnelles (IPR)</v>
          </cell>
          <cell r="D17" t="str">
            <v>Direction Generale Des Impots (DGI)</v>
          </cell>
          <cell r="E17" t="str">
            <v>USD</v>
          </cell>
          <cell r="F17">
            <v>13804170.74187474</v>
          </cell>
          <cell r="G17">
            <v>3801622.92</v>
          </cell>
          <cell r="H17">
            <v>4684463.8583557811</v>
          </cell>
          <cell r="I17">
            <v>2808675.0101311598</v>
          </cell>
          <cell r="S17">
            <v>25098932.530361682</v>
          </cell>
        </row>
        <row r="18">
          <cell r="C18" t="str">
            <v>Impôt exceptionnel sur les remunérations des expatriés (IERE)</v>
          </cell>
          <cell r="D18" t="str">
            <v>Direction Generale Des Impots (DGI)</v>
          </cell>
          <cell r="E18" t="str">
            <v>USD</v>
          </cell>
          <cell r="F18">
            <v>2205748.9181252602</v>
          </cell>
          <cell r="G18">
            <v>997473.19</v>
          </cell>
          <cell r="H18">
            <v>1411999.32164422</v>
          </cell>
          <cell r="I18">
            <v>1003304.49986884</v>
          </cell>
          <cell r="S18">
            <v>5618525.9296383206</v>
          </cell>
        </row>
        <row r="19">
          <cell r="C19" t="str">
            <v>TVA retenue a la source sur les entreprises publiques</v>
          </cell>
          <cell r="D19" t="str">
            <v>Direction Generale Des Impots (DGI)</v>
          </cell>
          <cell r="E19" t="str">
            <v>USD</v>
          </cell>
          <cell r="F19">
            <v>997024.42999999993</v>
          </cell>
          <cell r="G19">
            <v>32402.9</v>
          </cell>
          <cell r="H19">
            <v>1887045.5999999999</v>
          </cell>
          <cell r="I19">
            <v>942267.62000000011</v>
          </cell>
          <cell r="J19">
            <v>0</v>
          </cell>
          <cell r="K19">
            <v>0</v>
          </cell>
          <cell r="L19">
            <v>0</v>
          </cell>
          <cell r="M19">
            <v>0</v>
          </cell>
          <cell r="N19">
            <v>0</v>
          </cell>
          <cell r="O19">
            <v>0</v>
          </cell>
          <cell r="P19">
            <v>0</v>
          </cell>
          <cell r="Q19">
            <v>0</v>
          </cell>
          <cell r="S19">
            <v>3858740.55</v>
          </cell>
        </row>
        <row r="20">
          <cell r="C20" t="str">
            <v>Impôt sur la retenue locative</v>
          </cell>
          <cell r="D20" t="str">
            <v>Direction de Recettes du Lualaba (DRLU)</v>
          </cell>
          <cell r="E20" t="str">
            <v>USD</v>
          </cell>
          <cell r="F20">
            <v>0</v>
          </cell>
          <cell r="G20">
            <v>0</v>
          </cell>
          <cell r="H20">
            <v>0</v>
          </cell>
          <cell r="I20">
            <v>0</v>
          </cell>
          <cell r="J20">
            <v>0</v>
          </cell>
          <cell r="K20">
            <v>0</v>
          </cell>
          <cell r="L20">
            <v>0</v>
          </cell>
          <cell r="M20">
            <v>0</v>
          </cell>
          <cell r="N20">
            <v>0</v>
          </cell>
          <cell r="O20">
            <v>0</v>
          </cell>
          <cell r="P20">
            <v>0</v>
          </cell>
          <cell r="Q20">
            <v>0</v>
          </cell>
          <cell r="S20">
            <v>0</v>
          </cell>
        </row>
        <row r="21">
          <cell r="C21" t="str">
            <v>Taxe environnementale (TRA,TAPO,TI)</v>
          </cell>
          <cell r="D21" t="str">
            <v>Direction Générale Des Recettes Administratives, Judiciaires, Domaniales Et De Participations (DGRAD)</v>
          </cell>
          <cell r="E21" t="str">
            <v>USD</v>
          </cell>
          <cell r="F21">
            <v>0</v>
          </cell>
          <cell r="G21">
            <v>0</v>
          </cell>
          <cell r="H21">
            <v>0</v>
          </cell>
          <cell r="I21">
            <v>6237.92</v>
          </cell>
          <cell r="J21">
            <v>0</v>
          </cell>
          <cell r="K21">
            <v>0</v>
          </cell>
          <cell r="L21">
            <v>0</v>
          </cell>
          <cell r="M21">
            <v>0</v>
          </cell>
          <cell r="N21">
            <v>0</v>
          </cell>
          <cell r="O21">
            <v>0</v>
          </cell>
          <cell r="P21">
            <v>0</v>
          </cell>
          <cell r="Q21">
            <v>0</v>
          </cell>
          <cell r="S21">
            <v>6237.92</v>
          </cell>
        </row>
        <row r="22">
          <cell r="C22" t="str">
            <v>Renouvellement numéro Import-Export</v>
          </cell>
          <cell r="D22" t="str">
            <v>Direction Générale Des Recettes Administratives, Judiciaires, Domaniales Et De Participations (DGRAD)</v>
          </cell>
          <cell r="E22" t="str">
            <v>USD</v>
          </cell>
          <cell r="F22">
            <v>0</v>
          </cell>
          <cell r="G22">
            <v>0</v>
          </cell>
          <cell r="H22">
            <v>0</v>
          </cell>
          <cell r="I22">
            <v>0</v>
          </cell>
          <cell r="J22">
            <v>0</v>
          </cell>
          <cell r="K22">
            <v>0</v>
          </cell>
          <cell r="L22">
            <v>0</v>
          </cell>
          <cell r="M22">
            <v>0</v>
          </cell>
          <cell r="N22">
            <v>0</v>
          </cell>
          <cell r="O22">
            <v>0</v>
          </cell>
          <cell r="P22">
            <v>0</v>
          </cell>
          <cell r="Q22">
            <v>0</v>
          </cell>
          <cell r="S22">
            <v>0</v>
          </cell>
        </row>
        <row r="23">
          <cell r="C23" t="str">
            <v>Taxe de gardiennage par la  Police des Mines et Hydrocarbures (PNMH)</v>
          </cell>
          <cell r="D23" t="str">
            <v>Direction Générale Des Recettes Administratives, Judiciaires, Domaniales Et De Participations (DGRAD)</v>
          </cell>
          <cell r="E23" t="str">
            <v>USD</v>
          </cell>
          <cell r="F23">
            <v>15149.99</v>
          </cell>
          <cell r="G23">
            <v>16391.490000000005</v>
          </cell>
          <cell r="H23">
            <v>14907.8</v>
          </cell>
          <cell r="I23">
            <v>0</v>
          </cell>
          <cell r="J23">
            <v>0</v>
          </cell>
          <cell r="K23">
            <v>0</v>
          </cell>
          <cell r="L23">
            <v>0</v>
          </cell>
          <cell r="M23">
            <v>0</v>
          </cell>
          <cell r="N23">
            <v>0</v>
          </cell>
          <cell r="O23">
            <v>0</v>
          </cell>
          <cell r="P23">
            <v>0</v>
          </cell>
          <cell r="Q23">
            <v>0</v>
          </cell>
          <cell r="S23">
            <v>46449.279999999999</v>
          </cell>
        </row>
        <row r="24">
          <cell r="C24" t="str">
            <v>Contrôle technique</v>
          </cell>
          <cell r="D24" t="str">
            <v>Direction de Recettes du Lualaba (DRLU)</v>
          </cell>
          <cell r="E24" t="str">
            <v>USD</v>
          </cell>
          <cell r="F24">
            <v>0</v>
          </cell>
          <cell r="G24">
            <v>6649.34</v>
          </cell>
          <cell r="H24">
            <v>0</v>
          </cell>
          <cell r="I24">
            <v>23180</v>
          </cell>
          <cell r="J24">
            <v>0</v>
          </cell>
          <cell r="K24">
            <v>0</v>
          </cell>
          <cell r="L24">
            <v>0</v>
          </cell>
          <cell r="M24">
            <v>0</v>
          </cell>
          <cell r="N24">
            <v>0</v>
          </cell>
          <cell r="O24">
            <v>0</v>
          </cell>
          <cell r="P24">
            <v>0</v>
          </cell>
          <cell r="Q24">
            <v>0</v>
          </cell>
          <cell r="S24">
            <v>29829.34</v>
          </cell>
        </row>
        <row r="25">
          <cell r="C25" t="str">
            <v>Redevance minière -DGRAD</v>
          </cell>
          <cell r="D25" t="str">
            <v>Direction Générale Des Recettes Administratives, Judiciaires, Domaniales Et De Participations (DGRAD)</v>
          </cell>
          <cell r="E25" t="str">
            <v>USD</v>
          </cell>
          <cell r="F25">
            <v>1870777.1099999999</v>
          </cell>
          <cell r="G25">
            <v>1477540.1600000001</v>
          </cell>
          <cell r="H25">
            <v>4470560.4800000004</v>
          </cell>
          <cell r="I25">
            <v>3849188.9</v>
          </cell>
          <cell r="J25">
            <v>0</v>
          </cell>
          <cell r="K25">
            <v>0</v>
          </cell>
          <cell r="L25">
            <v>0</v>
          </cell>
          <cell r="M25">
            <v>0</v>
          </cell>
          <cell r="N25">
            <v>0</v>
          </cell>
          <cell r="O25">
            <v>0</v>
          </cell>
          <cell r="P25">
            <v>0</v>
          </cell>
          <cell r="Q25">
            <v>0</v>
          </cell>
          <cell r="S25">
            <v>11668066.65</v>
          </cell>
        </row>
        <row r="26">
          <cell r="C26" t="str">
            <v>Redevance minière -DRLU</v>
          </cell>
          <cell r="D26" t="str">
            <v>Direction de Recettes du Lualaba (DRLU)</v>
          </cell>
          <cell r="E26" t="str">
            <v>USD</v>
          </cell>
          <cell r="F26">
            <v>2134424.7199999997</v>
          </cell>
          <cell r="G26">
            <v>438099.44999999995</v>
          </cell>
          <cell r="H26">
            <v>2360437.4300000002</v>
          </cell>
          <cell r="I26">
            <v>2958682.79</v>
          </cell>
          <cell r="J26">
            <v>0</v>
          </cell>
          <cell r="K26">
            <v>0</v>
          </cell>
          <cell r="L26">
            <v>0</v>
          </cell>
          <cell r="M26">
            <v>0</v>
          </cell>
          <cell r="N26">
            <v>0</v>
          </cell>
          <cell r="O26">
            <v>0</v>
          </cell>
          <cell r="P26">
            <v>0</v>
          </cell>
          <cell r="Q26">
            <v>0</v>
          </cell>
          <cell r="S26">
            <v>7891644.3899999997</v>
          </cell>
        </row>
        <row r="27">
          <cell r="C27" t="str">
            <v>Redevance minière -FOMIN</v>
          </cell>
          <cell r="D27" t="str">
            <v>Fonds Minier pour les générations futures (FOMIN)</v>
          </cell>
          <cell r="E27" t="str">
            <v>USD</v>
          </cell>
          <cell r="F27">
            <v>589237.94999999995</v>
          </cell>
          <cell r="G27">
            <v>0</v>
          </cell>
          <cell r="H27">
            <v>0</v>
          </cell>
          <cell r="I27">
            <v>1327327.52</v>
          </cell>
          <cell r="J27">
            <v>0</v>
          </cell>
          <cell r="K27">
            <v>0</v>
          </cell>
          <cell r="L27">
            <v>0</v>
          </cell>
          <cell r="M27">
            <v>0</v>
          </cell>
          <cell r="N27">
            <v>0</v>
          </cell>
          <cell r="O27">
            <v>0</v>
          </cell>
          <cell r="P27">
            <v>0</v>
          </cell>
          <cell r="Q27">
            <v>0</v>
          </cell>
          <cell r="S27">
            <v>1916565.47</v>
          </cell>
        </row>
        <row r="28">
          <cell r="C28" t="str">
            <v>Redevance minière -ETD</v>
          </cell>
          <cell r="D28" t="str">
            <v>Entité Territoriale Décentralisée (ETD)</v>
          </cell>
          <cell r="E28" t="str">
            <v>USD</v>
          </cell>
          <cell r="F28">
            <v>1067472.28</v>
          </cell>
          <cell r="G28">
            <v>1325596.6599999999</v>
          </cell>
          <cell r="H28">
            <v>1804016.76</v>
          </cell>
          <cell r="I28">
            <v>1430970.05</v>
          </cell>
          <cell r="J28">
            <v>0</v>
          </cell>
          <cell r="K28">
            <v>0</v>
          </cell>
          <cell r="L28">
            <v>0</v>
          </cell>
          <cell r="M28">
            <v>0</v>
          </cell>
          <cell r="N28">
            <v>0</v>
          </cell>
          <cell r="O28">
            <v>0</v>
          </cell>
          <cell r="P28">
            <v>0</v>
          </cell>
          <cell r="Q28">
            <v>0</v>
          </cell>
          <cell r="S28">
            <v>5628055.75</v>
          </cell>
        </row>
        <row r="29">
          <cell r="C29" t="str">
            <v>Redevance minière -FONAREV</v>
          </cell>
          <cell r="D29" t="str">
            <v>Fonds National des Réparations des Victimes</v>
          </cell>
          <cell r="E29" t="str">
            <v>USD</v>
          </cell>
          <cell r="F29">
            <v>808787.81</v>
          </cell>
          <cell r="G29">
            <v>652850.18000000005</v>
          </cell>
          <cell r="H29">
            <v>868236.66</v>
          </cell>
          <cell r="I29">
            <v>966477.16</v>
          </cell>
          <cell r="J29">
            <v>0</v>
          </cell>
          <cell r="K29">
            <v>0</v>
          </cell>
          <cell r="L29">
            <v>0</v>
          </cell>
          <cell r="M29">
            <v>0</v>
          </cell>
          <cell r="N29">
            <v>0</v>
          </cell>
          <cell r="O29">
            <v>0</v>
          </cell>
          <cell r="P29">
            <v>0</v>
          </cell>
          <cell r="Q29">
            <v>0</v>
          </cell>
          <cell r="S29">
            <v>3296351.8100000005</v>
          </cell>
        </row>
        <row r="30">
          <cell r="C30" t="str">
            <v>Poste,Télécommunication et Nouvelles Technologies de l'info (PTNTIC)</v>
          </cell>
          <cell r="D30" t="str">
            <v>Direction Générale Des Recettes Administratives, Judiciaires, Domaniales Et De Participations (DGRAD)</v>
          </cell>
          <cell r="E30" t="str">
            <v>USD</v>
          </cell>
          <cell r="F30">
            <v>0</v>
          </cell>
          <cell r="G30">
            <v>0</v>
          </cell>
          <cell r="H30">
            <v>0</v>
          </cell>
          <cell r="I30">
            <v>0</v>
          </cell>
          <cell r="J30">
            <v>0</v>
          </cell>
          <cell r="K30">
            <v>0</v>
          </cell>
          <cell r="L30">
            <v>0</v>
          </cell>
          <cell r="M30">
            <v>0</v>
          </cell>
          <cell r="N30">
            <v>0</v>
          </cell>
          <cell r="O30">
            <v>0</v>
          </cell>
          <cell r="P30">
            <v>0</v>
          </cell>
          <cell r="Q30">
            <v>0</v>
          </cell>
          <cell r="S30">
            <v>0</v>
          </cell>
        </row>
        <row r="31">
          <cell r="C31" t="str">
            <v>Droits superficiaires annuels (DSA)</v>
          </cell>
          <cell r="D31" t="str">
            <v>Cadastre Minier (CAMI)</v>
          </cell>
          <cell r="E31" t="str">
            <v>USD</v>
          </cell>
          <cell r="F31">
            <v>0</v>
          </cell>
          <cell r="G31">
            <v>0</v>
          </cell>
          <cell r="H31">
            <v>1241023.68</v>
          </cell>
          <cell r="I31">
            <v>0</v>
          </cell>
          <cell r="J31">
            <v>0</v>
          </cell>
          <cell r="K31">
            <v>0</v>
          </cell>
          <cell r="L31">
            <v>0</v>
          </cell>
          <cell r="M31">
            <v>0</v>
          </cell>
          <cell r="N31">
            <v>0</v>
          </cell>
          <cell r="O31">
            <v>0</v>
          </cell>
          <cell r="P31">
            <v>0</v>
          </cell>
          <cell r="Q31">
            <v>0</v>
          </cell>
          <cell r="S31">
            <v>1241023.68</v>
          </cell>
        </row>
        <row r="32">
          <cell r="C32" t="str">
            <v>Autorisation de minange,de transport et stockage des explosifs</v>
          </cell>
          <cell r="D32" t="str">
            <v>Direction Générale Des Recettes Administratives, Judiciaires, Domaniales Et De Participations (DGRAD)</v>
          </cell>
          <cell r="E32" t="str">
            <v>USD</v>
          </cell>
          <cell r="F32">
            <v>0</v>
          </cell>
          <cell r="G32">
            <v>0</v>
          </cell>
          <cell r="H32">
            <v>6331.86</v>
          </cell>
          <cell r="I32">
            <v>0</v>
          </cell>
          <cell r="J32">
            <v>0</v>
          </cell>
          <cell r="K32">
            <v>0</v>
          </cell>
          <cell r="L32">
            <v>0</v>
          </cell>
          <cell r="M32">
            <v>0</v>
          </cell>
          <cell r="N32">
            <v>0</v>
          </cell>
          <cell r="O32">
            <v>0</v>
          </cell>
          <cell r="P32">
            <v>0</v>
          </cell>
          <cell r="Q32">
            <v>0</v>
          </cell>
          <cell r="S32">
            <v>6331.86</v>
          </cell>
        </row>
        <row r="33">
          <cell r="C33" t="str">
            <v>Impôt sur les concessions minières et d’hydrocarbure (ICM)</v>
          </cell>
          <cell r="D33" t="str">
            <v>Direction de Recettes du Lualaba (DRLU)</v>
          </cell>
          <cell r="E33" t="str">
            <v>USD</v>
          </cell>
          <cell r="F33">
            <v>141533.5</v>
          </cell>
          <cell r="G33">
            <v>0</v>
          </cell>
          <cell r="H33">
            <v>0</v>
          </cell>
          <cell r="I33">
            <v>0</v>
          </cell>
          <cell r="J33">
            <v>0</v>
          </cell>
          <cell r="K33">
            <v>0</v>
          </cell>
          <cell r="L33">
            <v>0</v>
          </cell>
          <cell r="M33">
            <v>0</v>
          </cell>
          <cell r="N33">
            <v>0</v>
          </cell>
          <cell r="O33">
            <v>0</v>
          </cell>
          <cell r="P33">
            <v>0</v>
          </cell>
          <cell r="Q33">
            <v>0</v>
          </cell>
          <cell r="S33">
            <v>141533.5</v>
          </cell>
        </row>
        <row r="34">
          <cell r="C34" t="str">
            <v>Impôt sur les véhicules</v>
          </cell>
          <cell r="D34" t="str">
            <v>Direction de Recettes du Lualaba (DRLU)</v>
          </cell>
          <cell r="E34" t="str">
            <v>USD</v>
          </cell>
          <cell r="F34">
            <v>0</v>
          </cell>
          <cell r="G34">
            <v>0</v>
          </cell>
          <cell r="H34">
            <v>0</v>
          </cell>
          <cell r="I34">
            <v>0</v>
          </cell>
          <cell r="J34">
            <v>0</v>
          </cell>
          <cell r="K34">
            <v>0</v>
          </cell>
          <cell r="L34">
            <v>0</v>
          </cell>
          <cell r="M34">
            <v>0</v>
          </cell>
          <cell r="N34">
            <v>0</v>
          </cell>
          <cell r="O34">
            <v>0</v>
          </cell>
          <cell r="P34">
            <v>0</v>
          </cell>
          <cell r="Q34">
            <v>0</v>
          </cell>
          <cell r="S34">
            <v>0</v>
          </cell>
        </row>
        <row r="35">
          <cell r="C35" t="str">
            <v>Taxe de deboisement</v>
          </cell>
          <cell r="D35" t="str">
            <v>Fonds Forestier National</v>
          </cell>
          <cell r="E35" t="str">
            <v>USD</v>
          </cell>
          <cell r="F35">
            <v>0</v>
          </cell>
          <cell r="G35">
            <v>0</v>
          </cell>
          <cell r="H35">
            <v>0</v>
          </cell>
          <cell r="I35">
            <v>733878</v>
          </cell>
          <cell r="J35">
            <v>0</v>
          </cell>
          <cell r="K35">
            <v>0</v>
          </cell>
          <cell r="L35">
            <v>0</v>
          </cell>
          <cell r="M35">
            <v>0</v>
          </cell>
          <cell r="N35">
            <v>0</v>
          </cell>
          <cell r="O35">
            <v>0</v>
          </cell>
          <cell r="P35">
            <v>0</v>
          </cell>
          <cell r="Q35">
            <v>0</v>
          </cell>
          <cell r="S35">
            <v>733878</v>
          </cell>
        </row>
        <row r="36">
          <cell r="C36" t="str">
            <v>Carte de résident</v>
          </cell>
          <cell r="D36" t="str">
            <v>Direction de Recettes du Lualaba (DRLU)</v>
          </cell>
          <cell r="E36" t="str">
            <v>USD</v>
          </cell>
          <cell r="F36">
            <v>2500</v>
          </cell>
          <cell r="G36">
            <v>0</v>
          </cell>
          <cell r="H36">
            <v>0</v>
          </cell>
          <cell r="I36">
            <v>0</v>
          </cell>
          <cell r="J36">
            <v>0</v>
          </cell>
          <cell r="K36">
            <v>0</v>
          </cell>
          <cell r="L36">
            <v>0</v>
          </cell>
          <cell r="M36">
            <v>0</v>
          </cell>
          <cell r="N36">
            <v>0</v>
          </cell>
          <cell r="O36">
            <v>0</v>
          </cell>
          <cell r="P36">
            <v>0</v>
          </cell>
          <cell r="Q36">
            <v>0</v>
          </cell>
          <cell r="S36">
            <v>2500</v>
          </cell>
        </row>
        <row r="37">
          <cell r="C37" t="str">
            <v>contribution aux projets de
développement communautaire</v>
          </cell>
          <cell r="D37" t="str">
            <v>Communautés locales</v>
          </cell>
          <cell r="E37" t="str">
            <v>USD</v>
          </cell>
          <cell r="F37">
            <v>0</v>
          </cell>
          <cell r="G37">
            <v>0</v>
          </cell>
          <cell r="H37">
            <v>0</v>
          </cell>
          <cell r="I37">
            <v>0</v>
          </cell>
          <cell r="J37">
            <v>0</v>
          </cell>
          <cell r="K37">
            <v>0</v>
          </cell>
          <cell r="L37">
            <v>0</v>
          </cell>
          <cell r="M37">
            <v>0</v>
          </cell>
          <cell r="N37">
            <v>0</v>
          </cell>
          <cell r="O37">
            <v>0</v>
          </cell>
          <cell r="P37">
            <v>0</v>
          </cell>
          <cell r="Q37">
            <v>0</v>
          </cell>
          <cell r="S37">
            <v>0</v>
          </cell>
        </row>
        <row r="38">
          <cell r="C38" t="str">
            <v>Autorité de la sous-traitance dans le secteur privé (ARSP)</v>
          </cell>
          <cell r="D38" t="str">
            <v>Autorité de la sous-traitance dans le secteur privé (ARSP)</v>
          </cell>
          <cell r="E38" t="str">
            <v>USD</v>
          </cell>
          <cell r="F38">
            <v>0</v>
          </cell>
          <cell r="G38">
            <v>0</v>
          </cell>
          <cell r="H38">
            <v>0</v>
          </cell>
          <cell r="I38">
            <v>0</v>
          </cell>
          <cell r="J38">
            <v>0</v>
          </cell>
          <cell r="K38">
            <v>0</v>
          </cell>
          <cell r="L38">
            <v>0</v>
          </cell>
          <cell r="M38">
            <v>0</v>
          </cell>
          <cell r="N38">
            <v>0</v>
          </cell>
          <cell r="O38">
            <v>0</v>
          </cell>
          <cell r="P38">
            <v>0</v>
          </cell>
          <cell r="Q38">
            <v>0</v>
          </cell>
          <cell r="S38">
            <v>0</v>
          </cell>
        </row>
        <row r="39">
          <cell r="C39" t="str">
            <v>Taxe de stationnement</v>
          </cell>
          <cell r="D39" t="str">
            <v>Direction de Recettes du Lualaba (DRLU)</v>
          </cell>
          <cell r="E39" t="str">
            <v>USD</v>
          </cell>
          <cell r="F39">
            <v>0</v>
          </cell>
          <cell r="G39">
            <v>0</v>
          </cell>
          <cell r="H39">
            <v>0</v>
          </cell>
          <cell r="I39">
            <v>0</v>
          </cell>
          <cell r="J39">
            <v>0</v>
          </cell>
          <cell r="K39">
            <v>0</v>
          </cell>
          <cell r="L39">
            <v>0</v>
          </cell>
          <cell r="M39">
            <v>0</v>
          </cell>
          <cell r="N39">
            <v>0</v>
          </cell>
          <cell r="O39">
            <v>0</v>
          </cell>
          <cell r="P39">
            <v>0</v>
          </cell>
          <cell r="Q39">
            <v>0</v>
          </cell>
          <cell r="S39">
            <v>0</v>
          </cell>
        </row>
        <row r="40">
          <cell r="C40" t="str">
            <v>Dividendes</v>
          </cell>
          <cell r="D40" t="str">
            <v>Gouvernement de la RDC</v>
          </cell>
          <cell r="E40" t="str">
            <v>USD</v>
          </cell>
          <cell r="F40">
            <v>0</v>
          </cell>
          <cell r="G40">
            <v>0</v>
          </cell>
          <cell r="H40">
            <v>28156898</v>
          </cell>
          <cell r="I40">
            <v>0</v>
          </cell>
          <cell r="J40">
            <v>0</v>
          </cell>
          <cell r="K40">
            <v>0</v>
          </cell>
          <cell r="L40">
            <v>0</v>
          </cell>
          <cell r="M40">
            <v>0</v>
          </cell>
          <cell r="N40">
            <v>0</v>
          </cell>
          <cell r="O40">
            <v>0</v>
          </cell>
          <cell r="P40">
            <v>0</v>
          </cell>
          <cell r="Q40">
            <v>0</v>
          </cell>
          <cell r="S40">
            <v>28156898</v>
          </cell>
        </row>
        <row r="41">
          <cell r="C41" t="str">
            <v>Impôt mobilier</v>
          </cell>
          <cell r="D41" t="str">
            <v>Direction Generale Des Impots (DGI)</v>
          </cell>
          <cell r="E41" t="str">
            <v>USD</v>
          </cell>
          <cell r="F41">
            <v>7985540.1100000003</v>
          </cell>
          <cell r="G41">
            <v>0</v>
          </cell>
          <cell r="H41">
            <v>0</v>
          </cell>
          <cell r="I41">
            <v>15519581.369999999</v>
          </cell>
          <cell r="J41">
            <v>0</v>
          </cell>
          <cell r="K41">
            <v>0</v>
          </cell>
          <cell r="L41">
            <v>0</v>
          </cell>
          <cell r="M41">
            <v>0</v>
          </cell>
          <cell r="N41">
            <v>0</v>
          </cell>
          <cell r="O41">
            <v>0</v>
          </cell>
          <cell r="P41">
            <v>0</v>
          </cell>
          <cell r="Q41">
            <v>0</v>
          </cell>
          <cell r="S41">
            <v>23505121.48</v>
          </cell>
        </row>
        <row r="42">
          <cell r="C42" t="str">
            <v>Redevance sur les Concessions Ordinnaires (RCO)</v>
          </cell>
          <cell r="D42" t="str">
            <v>Direction Générale Des Recettes Administratives, Judiciaires, Domaniales Et De Participations (DGRAD)</v>
          </cell>
          <cell r="E42" t="str">
            <v>USD</v>
          </cell>
          <cell r="F42">
            <v>0</v>
          </cell>
          <cell r="G42">
            <v>0</v>
          </cell>
          <cell r="H42">
            <v>0</v>
          </cell>
          <cell r="I42">
            <v>0</v>
          </cell>
          <cell r="J42">
            <v>0</v>
          </cell>
          <cell r="K42">
            <v>0</v>
          </cell>
          <cell r="L42">
            <v>0</v>
          </cell>
          <cell r="M42">
            <v>0</v>
          </cell>
          <cell r="N42">
            <v>0</v>
          </cell>
          <cell r="O42">
            <v>0</v>
          </cell>
          <cell r="P42">
            <v>0</v>
          </cell>
          <cell r="Q42">
            <v>0</v>
          </cell>
          <cell r="S42">
            <v>0</v>
          </cell>
        </row>
        <row r="43">
          <cell r="C43" t="str">
            <v>Carte de travail</v>
          </cell>
          <cell r="D43" t="str">
            <v>Direction Générale Des Recettes Administratives, Judiciaires, Domaniales Et De Participations (DGRAD)</v>
          </cell>
          <cell r="E43" t="str">
            <v>USD</v>
          </cell>
          <cell r="F43">
            <v>92400</v>
          </cell>
          <cell r="G43">
            <v>0</v>
          </cell>
          <cell r="H43">
            <v>0</v>
          </cell>
          <cell r="I43">
            <v>0</v>
          </cell>
          <cell r="J43">
            <v>0</v>
          </cell>
          <cell r="K43">
            <v>0</v>
          </cell>
          <cell r="L43">
            <v>0</v>
          </cell>
          <cell r="M43">
            <v>0</v>
          </cell>
          <cell r="N43">
            <v>0</v>
          </cell>
          <cell r="O43">
            <v>0</v>
          </cell>
          <cell r="P43">
            <v>0</v>
          </cell>
          <cell r="Q43">
            <v>0</v>
          </cell>
          <cell r="S43">
            <v>92400</v>
          </cell>
        </row>
        <row r="44">
          <cell r="C44" t="str">
            <v>Visa d'etablissement de travail</v>
          </cell>
          <cell r="D44" t="str">
            <v>Direction Générale Des Recettes Administratives, Judiciaires, Domaniales Et De Participations (DGRAD)</v>
          </cell>
          <cell r="E44" t="str">
            <v>USD</v>
          </cell>
          <cell r="F44">
            <v>19701.009999999998</v>
          </cell>
          <cell r="G44">
            <v>25200</v>
          </cell>
          <cell r="H44">
            <v>0</v>
          </cell>
          <cell r="I44">
            <v>0</v>
          </cell>
          <cell r="J44">
            <v>0</v>
          </cell>
          <cell r="K44">
            <v>0</v>
          </cell>
          <cell r="L44">
            <v>0</v>
          </cell>
          <cell r="M44">
            <v>0</v>
          </cell>
          <cell r="N44">
            <v>0</v>
          </cell>
          <cell r="O44">
            <v>0</v>
          </cell>
          <cell r="P44">
            <v>0</v>
          </cell>
          <cell r="Q44">
            <v>0</v>
          </cell>
          <cell r="S44">
            <v>44901.009999999995</v>
          </cell>
        </row>
        <row r="45">
          <cell r="C45" t="str">
            <v>Impôt Spécial sur les profits Excédentaires (ou Super Profits)</v>
          </cell>
          <cell r="D45" t="str">
            <v>Direction Generale Des Impots (DGI)</v>
          </cell>
          <cell r="E45" t="str">
            <v>USD</v>
          </cell>
          <cell r="F45">
            <v>0</v>
          </cell>
          <cell r="G45">
            <v>0</v>
          </cell>
          <cell r="H45">
            <v>0</v>
          </cell>
          <cell r="I45">
            <v>0</v>
          </cell>
          <cell r="J45">
            <v>0</v>
          </cell>
          <cell r="K45">
            <v>0</v>
          </cell>
          <cell r="L45">
            <v>0</v>
          </cell>
          <cell r="M45">
            <v>0</v>
          </cell>
          <cell r="N45">
            <v>0</v>
          </cell>
          <cell r="O45">
            <v>0</v>
          </cell>
          <cell r="P45">
            <v>0</v>
          </cell>
          <cell r="Q45">
            <v>0</v>
          </cell>
          <cell r="S45">
            <v>0</v>
          </cell>
        </row>
        <row r="46">
          <cell r="C46" t="str">
            <v>Impôt Foncier</v>
          </cell>
          <cell r="D46" t="str">
            <v>Direction de Recettes du Lualaba (DRLU)</v>
          </cell>
        </row>
        <row r="47">
          <cell r="F47">
            <v>0</v>
          </cell>
          <cell r="G47">
            <v>2500</v>
          </cell>
          <cell r="H47">
            <v>0</v>
          </cell>
          <cell r="I47">
            <v>2500</v>
          </cell>
          <cell r="J47">
            <v>0</v>
          </cell>
          <cell r="K47">
            <v>0</v>
          </cell>
          <cell r="L47">
            <v>0</v>
          </cell>
          <cell r="M47">
            <v>0</v>
          </cell>
          <cell r="N47">
            <v>0</v>
          </cell>
          <cell r="O47">
            <v>0</v>
          </cell>
          <cell r="P47">
            <v>0</v>
          </cell>
          <cell r="Q47">
            <v>0</v>
          </cell>
          <cell r="S47">
            <v>5000</v>
          </cell>
        </row>
        <row r="48">
          <cell r="E48" t="str">
            <v>USD</v>
          </cell>
          <cell r="F48">
            <v>51079732.82</v>
          </cell>
          <cell r="G48">
            <v>12479628.549999999</v>
          </cell>
          <cell r="H48">
            <v>51489175.400000006</v>
          </cell>
          <cell r="I48">
            <v>85670090.620000005</v>
          </cell>
          <cell r="J48">
            <v>0</v>
          </cell>
          <cell r="K48">
            <v>0</v>
          </cell>
          <cell r="L48">
            <v>0</v>
          </cell>
          <cell r="M48">
            <v>0</v>
          </cell>
          <cell r="N48">
            <v>0</v>
          </cell>
          <cell r="O48">
            <v>0</v>
          </cell>
          <cell r="P48">
            <v>0</v>
          </cell>
          <cell r="Q48">
            <v>0</v>
          </cell>
          <cell r="S48">
            <v>199991263.74000001</v>
          </cell>
        </row>
        <row r="49">
          <cell r="E49" t="str">
            <v>Check</v>
          </cell>
          <cell r="F49">
            <v>149638894.56999993</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ther List"/>
      <sheetName val="Tax list"/>
      <sheetName val="1013-Tax Calendar_Year 2021"/>
      <sheetName val="Split state dept"/>
      <sheetName val="Summary"/>
      <sheetName val="Data"/>
      <sheetName val="Payroll Tax"/>
      <sheetName val="Corporate Tax"/>
      <sheetName val="penalty"/>
      <sheetName val="Withholding"/>
      <sheetName val="Minor"/>
      <sheetName val="VAT"/>
      <sheetName val="GL bank"/>
      <sheetName val="Tax prepayments"/>
    </sheetNames>
    <sheetDataSet>
      <sheetData sheetId="0" refreshError="1"/>
      <sheetData sheetId="1" refreshError="1"/>
      <sheetData sheetId="2" refreshError="1"/>
      <sheetData sheetId="3" refreshError="1"/>
      <sheetData sheetId="4">
        <row r="5">
          <cell r="W5">
            <v>11</v>
          </cell>
        </row>
        <row r="6">
          <cell r="V6" t="str">
            <v>French description</v>
          </cell>
        </row>
        <row r="7">
          <cell r="V7" t="str">
            <v>14% Withholding Tax (Foreign IBP)</v>
          </cell>
          <cell r="W7">
            <v>990790.88</v>
          </cell>
        </row>
        <row r="8">
          <cell r="V8" t="str">
            <v xml:space="preserve">Corporate Income Tax Prepayment </v>
          </cell>
          <cell r="W8">
            <v>25000000</v>
          </cell>
        </row>
        <row r="9">
          <cell r="V9" t="str">
            <v>Corporate Income Tax</v>
          </cell>
          <cell r="W9">
            <v>0</v>
          </cell>
        </row>
        <row r="10">
          <cell r="V10" t="str">
            <v>DGI Penalty</v>
          </cell>
          <cell r="W10">
            <v>2899.2</v>
          </cell>
        </row>
        <row r="11">
          <cell r="V11" t="str">
            <v>DGRAD Penalty</v>
          </cell>
          <cell r="W11">
            <v>443215.54</v>
          </cell>
        </row>
        <row r="12">
          <cell r="V12" t="str">
            <v>DGDA Penalty</v>
          </cell>
          <cell r="W12">
            <v>0</v>
          </cell>
        </row>
        <row r="13">
          <cell r="V13" t="str">
            <v xml:space="preserve">National Body for Employee Training </v>
          </cell>
          <cell r="W13">
            <v>813642.55999999994</v>
          </cell>
        </row>
        <row r="14">
          <cell r="V14" t="str">
            <v>ONEM fees</v>
          </cell>
          <cell r="W14">
            <v>162728.51999999999</v>
          </cell>
        </row>
        <row r="15">
          <cell r="V15" t="str">
            <v>Social Security Contribution</v>
          </cell>
          <cell r="W15">
            <v>14645565.84</v>
          </cell>
        </row>
        <row r="16">
          <cell r="V16" t="str">
            <v>Personal Income Tax</v>
          </cell>
          <cell r="W16">
            <v>28820171.789999999</v>
          </cell>
        </row>
        <row r="17">
          <cell r="V17" t="str">
            <v>VAT retained on public compagnies</v>
          </cell>
          <cell r="W17">
            <v>1397546.4500000002</v>
          </cell>
        </row>
        <row r="18">
          <cell r="V18" t="str">
            <v>Withholding Tax on Rental</v>
          </cell>
          <cell r="W18">
            <v>0</v>
          </cell>
        </row>
        <row r="19">
          <cell r="V19" t="str">
            <v>Environmental Tax</v>
          </cell>
          <cell r="W19">
            <v>0</v>
          </cell>
        </row>
        <row r="20">
          <cell r="V20" t="str">
            <v>Import &amp; export registration</v>
          </cell>
          <cell r="W20">
            <v>0</v>
          </cell>
        </row>
        <row r="21">
          <cell r="V21" t="str">
            <v>Mine police security</v>
          </cell>
          <cell r="W21">
            <v>46027.13</v>
          </cell>
        </row>
        <row r="22">
          <cell r="V22" t="str">
            <v>Road worthiness test</v>
          </cell>
          <cell r="W22">
            <v>0</v>
          </cell>
        </row>
        <row r="23">
          <cell r="V23" t="str">
            <v>Mining royalties-DGRAD</v>
          </cell>
          <cell r="W23">
            <v>13822651.100000001</v>
          </cell>
        </row>
        <row r="24">
          <cell r="V24" t="str">
            <v>Mining royalties-DRLU</v>
          </cell>
          <cell r="W24">
            <v>6492043.5199999996</v>
          </cell>
        </row>
        <row r="25">
          <cell r="V25" t="str">
            <v>Mining royalties-FOMIN</v>
          </cell>
          <cell r="W25">
            <v>2146223.4900000002</v>
          </cell>
        </row>
        <row r="26">
          <cell r="V26" t="str">
            <v>Mining royalties-ETD</v>
          </cell>
          <cell r="W26">
            <v>5051264.07</v>
          </cell>
        </row>
        <row r="27">
          <cell r="V27" t="str">
            <v>Mining royalties-FONAREV</v>
          </cell>
          <cell r="W27">
            <v>2956462.39</v>
          </cell>
        </row>
        <row r="28">
          <cell r="V28" t="str">
            <v>Tax on communication (VSAT,etc)</v>
          </cell>
          <cell r="W28">
            <v>0</v>
          </cell>
        </row>
        <row r="29">
          <cell r="V29" t="str">
            <v>Annual surface area fees</v>
          </cell>
          <cell r="W29">
            <v>1204880.04</v>
          </cell>
        </row>
        <row r="30">
          <cell r="V30" t="str">
            <v>Blasting authaurization</v>
          </cell>
          <cell r="W30">
            <v>82840.3</v>
          </cell>
        </row>
        <row r="31">
          <cell r="V31" t="str">
            <v>Tax on mining surface</v>
          </cell>
          <cell r="W31">
            <v>137557.84</v>
          </cell>
        </row>
        <row r="32">
          <cell r="V32" t="str">
            <v>Tax on vehicles</v>
          </cell>
          <cell r="W32">
            <v>0</v>
          </cell>
        </row>
        <row r="33">
          <cell r="V33" t="str">
            <v>Deforestation tax</v>
          </cell>
          <cell r="W33">
            <v>621018</v>
          </cell>
        </row>
        <row r="34">
          <cell r="V34" t="str">
            <v>Resident Card</v>
          </cell>
          <cell r="W34">
            <v>0</v>
          </cell>
        </row>
        <row r="35">
          <cell r="V35" t="str">
            <v>Community developpement (0,3%)</v>
          </cell>
          <cell r="W35">
            <v>0</v>
          </cell>
        </row>
        <row r="36">
          <cell r="V36" t="str">
            <v>ARSP fees</v>
          </cell>
          <cell r="W36">
            <v>6000000</v>
          </cell>
        </row>
        <row r="37">
          <cell r="V37" t="str">
            <v>Parking tax</v>
          </cell>
          <cell r="W37">
            <v>0</v>
          </cell>
        </row>
        <row r="38">
          <cell r="V38" t="str">
            <v>Dividend (DRC's government)</v>
          </cell>
          <cell r="W38">
            <v>0</v>
          </cell>
        </row>
        <row r="39">
          <cell r="V39" t="str">
            <v>Tax on movables</v>
          </cell>
          <cell r="W39">
            <v>0</v>
          </cell>
        </row>
        <row r="40">
          <cell r="V40" t="str">
            <v>Land Tax</v>
          </cell>
          <cell r="W40">
            <v>0</v>
          </cell>
        </row>
        <row r="41">
          <cell r="V41" t="str">
            <v>Work permit</v>
          </cell>
          <cell r="W41">
            <v>0</v>
          </cell>
        </row>
        <row r="42">
          <cell r="V42" t="str">
            <v>Working visa</v>
          </cell>
          <cell r="W42">
            <v>66616</v>
          </cell>
        </row>
        <row r="43">
          <cell r="W43">
            <v>0</v>
          </cell>
        </row>
        <row r="44">
          <cell r="W44">
            <v>91883684.030000016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8C0EB-3BC3-46AD-BE2C-9F8E235C8394}">
  <sheetPr>
    <tabColor rgb="FF002060"/>
    <pageSetUpPr fitToPage="1"/>
  </sheetPr>
  <dimension ref="A1:X42"/>
  <sheetViews>
    <sheetView workbookViewId="0">
      <pane ySplit="4" topLeftCell="A17" activePane="bottomLeft" state="frozen"/>
      <selection activeCell="S9" sqref="S9"/>
      <selection pane="bottomLeft" activeCell="C9" sqref="C9"/>
    </sheetView>
  </sheetViews>
  <sheetFormatPr defaultColWidth="9.109375" defaultRowHeight="14.4" x14ac:dyDescent="0.3"/>
  <cols>
    <col min="1" max="1" width="3.5546875" style="4" bestFit="1" customWidth="1"/>
    <col min="2" max="2" width="70.109375" style="4" customWidth="1"/>
    <col min="3" max="3" width="89.5546875" style="4" bestFit="1" customWidth="1"/>
    <col min="4" max="4" width="7.109375" style="4" bestFit="1" customWidth="1"/>
    <col min="5" max="5" width="12.44140625" style="4" bestFit="1" customWidth="1"/>
    <col min="6" max="6" width="14.5546875" style="4" bestFit="1" customWidth="1"/>
    <col min="7" max="7" width="14.44140625" style="4" bestFit="1" customWidth="1"/>
    <col min="8" max="8" width="14" style="4" bestFit="1" customWidth="1"/>
    <col min="9" max="9" width="14" style="4" customWidth="1"/>
    <col min="10" max="10" width="13.88671875" style="4" customWidth="1"/>
    <col min="11" max="11" width="14.21875" style="2" bestFit="1" customWidth="1"/>
    <col min="12" max="12" width="13" style="4" customWidth="1"/>
    <col min="13" max="13" width="64" style="4" bestFit="1" customWidth="1"/>
    <col min="14" max="14" width="3.5546875" style="4" bestFit="1" customWidth="1"/>
    <col min="15" max="15" width="21.77734375" style="4" bestFit="1" customWidth="1"/>
    <col min="16" max="16" width="9.109375" style="4"/>
    <col min="17" max="17" width="9.21875" style="4" bestFit="1" customWidth="1"/>
    <col min="18" max="18" width="9.109375" style="4"/>
    <col min="19" max="19" width="54.5546875" style="4" bestFit="1" customWidth="1"/>
    <col min="20" max="20" width="13.6640625" style="13" bestFit="1" customWidth="1"/>
    <col min="21" max="21" width="14.6640625" style="13" bestFit="1" customWidth="1"/>
    <col min="22" max="22" width="9.109375" style="4"/>
    <col min="23" max="23" width="11.44140625" style="4" bestFit="1" customWidth="1"/>
    <col min="24" max="16384" width="9.109375" style="4"/>
  </cols>
  <sheetData>
    <row r="1" spans="1:24" ht="72" x14ac:dyDescent="0.3">
      <c r="B1" s="18" t="s">
        <v>88</v>
      </c>
      <c r="C1" s="17"/>
      <c r="D1" s="17"/>
      <c r="E1" s="17"/>
      <c r="F1" s="17"/>
      <c r="G1" s="17"/>
      <c r="H1" s="17"/>
      <c r="I1" s="17"/>
      <c r="J1" s="17"/>
      <c r="K1" s="17"/>
    </row>
    <row r="2" spans="1:24" x14ac:dyDescent="0.3">
      <c r="K2" s="4"/>
    </row>
    <row r="3" spans="1:24" s="20" customFormat="1" x14ac:dyDescent="0.3">
      <c r="B3" s="21" t="s">
        <v>87</v>
      </c>
      <c r="C3" s="22">
        <f>'Monthly mvt2026'!P5</f>
        <v>46357</v>
      </c>
      <c r="K3" s="23"/>
      <c r="T3" s="24"/>
      <c r="U3" s="24"/>
    </row>
    <row r="4" spans="1:24" s="2" customFormat="1" x14ac:dyDescent="0.3">
      <c r="A4" s="6" t="s">
        <v>28</v>
      </c>
      <c r="B4" s="6" t="s">
        <v>77</v>
      </c>
      <c r="C4" s="6" t="s">
        <v>78</v>
      </c>
      <c r="D4" s="6" t="s">
        <v>79</v>
      </c>
      <c r="E4" s="6">
        <v>2021</v>
      </c>
      <c r="F4" s="6">
        <v>2022</v>
      </c>
      <c r="G4" s="6">
        <v>2023</v>
      </c>
      <c r="H4" s="6">
        <v>2024</v>
      </c>
      <c r="I4" s="6">
        <v>2025</v>
      </c>
      <c r="J4" s="6">
        <v>2026</v>
      </c>
      <c r="K4" s="6" t="s">
        <v>46</v>
      </c>
      <c r="M4" s="4"/>
      <c r="N4" s="4"/>
      <c r="O4" s="4"/>
      <c r="T4" s="14"/>
      <c r="U4" s="14"/>
    </row>
    <row r="5" spans="1:24" s="2" customFormat="1" x14ac:dyDescent="0.3">
      <c r="A5" s="3">
        <v>1</v>
      </c>
      <c r="B5" s="3" t="s">
        <v>47</v>
      </c>
      <c r="C5" s="3" t="s">
        <v>53</v>
      </c>
      <c r="D5" s="3" t="s">
        <v>52</v>
      </c>
      <c r="E5" s="7">
        <v>1255.45</v>
      </c>
      <c r="F5" s="7">
        <v>6654407.3899999997</v>
      </c>
      <c r="G5" s="7">
        <v>19485427.829999998</v>
      </c>
      <c r="H5" s="7">
        <v>14936702.9</v>
      </c>
      <c r="I5" s="7">
        <v>286167837.59000003</v>
      </c>
      <c r="J5" s="7">
        <f>VLOOKUP(B5,'Monthly mvt2026'!B:Q,16,FALSE)</f>
        <v>0</v>
      </c>
      <c r="K5" s="8">
        <f t="shared" ref="K5:K36" si="0">SUM(E5:J5)</f>
        <v>327245631.16000003</v>
      </c>
      <c r="M5" s="4"/>
      <c r="N5" s="4"/>
      <c r="O5" s="4"/>
      <c r="T5" s="14"/>
      <c r="U5" s="14"/>
      <c r="W5" s="19"/>
    </row>
    <row r="6" spans="1:24" s="2" customFormat="1" x14ac:dyDescent="0.3">
      <c r="A6" s="3">
        <v>2</v>
      </c>
      <c r="B6" s="3" t="s">
        <v>39</v>
      </c>
      <c r="C6" s="3" t="s">
        <v>55</v>
      </c>
      <c r="D6" s="3" t="s">
        <v>52</v>
      </c>
      <c r="E6" s="7">
        <v>55680.82</v>
      </c>
      <c r="F6" s="7">
        <v>361573.9</v>
      </c>
      <c r="G6" s="7">
        <v>142727.12</v>
      </c>
      <c r="H6" s="7">
        <v>0</v>
      </c>
      <c r="I6" s="7">
        <v>196884.58000000002</v>
      </c>
      <c r="J6" s="7">
        <f>VLOOKUP(B6,'Monthly mvt2026'!B:Q,16,FALSE)</f>
        <v>6331.86</v>
      </c>
      <c r="K6" s="8">
        <f t="shared" si="0"/>
        <v>763198.28000000014</v>
      </c>
      <c r="M6" s="4"/>
      <c r="N6" s="4"/>
      <c r="O6" s="4"/>
      <c r="T6" s="14"/>
      <c r="U6" s="14"/>
      <c r="W6" s="19"/>
    </row>
    <row r="7" spans="1:24" x14ac:dyDescent="0.3">
      <c r="A7" s="3">
        <v>3</v>
      </c>
      <c r="B7" s="3" t="s">
        <v>37</v>
      </c>
      <c r="C7" s="3" t="s">
        <v>58</v>
      </c>
      <c r="D7" s="3" t="s">
        <v>52</v>
      </c>
      <c r="E7" s="7">
        <v>0</v>
      </c>
      <c r="F7" s="7">
        <v>0</v>
      </c>
      <c r="G7" s="7">
        <v>6443015.5199999996</v>
      </c>
      <c r="H7" s="7">
        <v>8111876</v>
      </c>
      <c r="I7" s="7">
        <v>9319833.2899999991</v>
      </c>
      <c r="J7" s="7">
        <f>VLOOKUP(B7,'Monthly mvt2026'!B:Q,16,FALSE)</f>
        <v>0</v>
      </c>
      <c r="K7" s="8">
        <f t="shared" si="0"/>
        <v>23874724.809999999</v>
      </c>
      <c r="Q7" s="2"/>
      <c r="S7" s="2"/>
      <c r="T7" s="14"/>
      <c r="U7" s="14"/>
      <c r="W7" s="19"/>
      <c r="X7" s="2"/>
    </row>
    <row r="8" spans="1:24" x14ac:dyDescent="0.3">
      <c r="A8" s="3">
        <v>4</v>
      </c>
      <c r="B8" s="3" t="s">
        <v>31</v>
      </c>
      <c r="C8" s="3" t="s">
        <v>56</v>
      </c>
      <c r="D8" s="3" t="s">
        <v>52</v>
      </c>
      <c r="E8" s="7">
        <v>37425.94</v>
      </c>
      <c r="F8" s="7">
        <v>44145.3</v>
      </c>
      <c r="G8" s="7">
        <v>13264.9</v>
      </c>
      <c r="H8" s="7">
        <v>0</v>
      </c>
      <c r="I8" s="7">
        <v>42487.49</v>
      </c>
      <c r="J8" s="7">
        <f>VLOOKUP(B8,'Monthly mvt2026'!B:Q,16,FALSE)</f>
        <v>29829.34</v>
      </c>
      <c r="K8" s="8">
        <f t="shared" si="0"/>
        <v>167152.97</v>
      </c>
      <c r="Q8" s="2"/>
      <c r="S8" s="2"/>
      <c r="T8" s="14"/>
      <c r="U8" s="14"/>
      <c r="W8" s="19"/>
      <c r="X8" s="2"/>
    </row>
    <row r="9" spans="1:24" x14ac:dyDescent="0.3">
      <c r="A9" s="3">
        <v>5</v>
      </c>
      <c r="B9" s="3" t="s">
        <v>34</v>
      </c>
      <c r="C9" s="3" t="s">
        <v>59</v>
      </c>
      <c r="D9" s="3" t="s">
        <v>52</v>
      </c>
      <c r="E9" s="7">
        <v>511707.64000000007</v>
      </c>
      <c r="F9" s="7">
        <v>958752.4800000001</v>
      </c>
      <c r="G9" s="7">
        <v>1020353.930506988</v>
      </c>
      <c r="H9" s="7">
        <v>739392.10385077819</v>
      </c>
      <c r="I9" s="7">
        <v>2483825.6199999996</v>
      </c>
      <c r="J9" s="7">
        <f>VLOOKUP(B9,'Monthly mvt2026'!B:Q,16,FALSE)</f>
        <v>1485030</v>
      </c>
      <c r="K9" s="8">
        <f t="shared" si="0"/>
        <v>7199061.7743577659</v>
      </c>
      <c r="Q9" s="2"/>
      <c r="S9" s="2"/>
      <c r="T9" s="14"/>
      <c r="U9" s="14"/>
      <c r="W9" s="19"/>
      <c r="X9" s="2"/>
    </row>
    <row r="10" spans="1:24" x14ac:dyDescent="0.3">
      <c r="A10" s="3">
        <v>6</v>
      </c>
      <c r="B10" s="3" t="s">
        <v>81</v>
      </c>
      <c r="C10" s="3" t="s">
        <v>60</v>
      </c>
      <c r="D10" s="3" t="s">
        <v>52</v>
      </c>
      <c r="E10" s="7">
        <v>102341.53</v>
      </c>
      <c r="F10" s="7">
        <v>191750.5</v>
      </c>
      <c r="G10" s="7">
        <v>204070.79810139758</v>
      </c>
      <c r="H10" s="7">
        <v>147878.42276941356</v>
      </c>
      <c r="I10" s="7">
        <v>716170.34</v>
      </c>
      <c r="J10" s="7">
        <f>VLOOKUP(B10,'Monthly mvt2026'!B:Q,16,FALSE)</f>
        <v>481637.74</v>
      </c>
      <c r="K10" s="8">
        <f t="shared" si="0"/>
        <v>1843849.3308708111</v>
      </c>
      <c r="Q10" s="2"/>
      <c r="S10" s="2"/>
      <c r="T10" s="14"/>
      <c r="U10" s="14"/>
      <c r="W10" s="19"/>
      <c r="X10" s="2"/>
    </row>
    <row r="11" spans="1:24" x14ac:dyDescent="0.3">
      <c r="A11" s="3">
        <v>7</v>
      </c>
      <c r="B11" s="3" t="s">
        <v>90</v>
      </c>
      <c r="C11" s="3" t="s">
        <v>61</v>
      </c>
      <c r="D11" s="3" t="s">
        <v>52</v>
      </c>
      <c r="E11" s="7">
        <v>9135068.9699999988</v>
      </c>
      <c r="F11" s="7">
        <v>17257544.640000001</v>
      </c>
      <c r="G11" s="7">
        <v>18366370.979125783</v>
      </c>
      <c r="H11" s="7">
        <v>13309058.019336274</v>
      </c>
      <c r="I11" s="7">
        <v>44708861.100000001</v>
      </c>
      <c r="J11" s="7">
        <f>VLOOKUP(B11,'Monthly mvt2026'!B:Q,16,FALSE)</f>
        <v>18061948.469999999</v>
      </c>
      <c r="K11" s="8">
        <f t="shared" si="0"/>
        <v>120838852.17846206</v>
      </c>
      <c r="Q11" s="2"/>
      <c r="S11" s="2"/>
      <c r="T11" s="14"/>
      <c r="U11" s="14"/>
      <c r="W11" s="19"/>
      <c r="X11" s="2"/>
    </row>
    <row r="12" spans="1:24" x14ac:dyDescent="0.3">
      <c r="A12" s="3">
        <v>8</v>
      </c>
      <c r="B12" s="3" t="s">
        <v>85</v>
      </c>
      <c r="C12" s="3" t="s">
        <v>55</v>
      </c>
      <c r="D12" s="3" t="s">
        <v>52</v>
      </c>
      <c r="E12" s="7">
        <v>0</v>
      </c>
      <c r="F12" s="7">
        <v>0</v>
      </c>
      <c r="G12" s="7">
        <v>0</v>
      </c>
      <c r="H12" s="7">
        <v>17589008.879999999</v>
      </c>
      <c r="I12" s="7">
        <v>31535726</v>
      </c>
      <c r="J12" s="7">
        <f>VLOOKUP(B12,'Monthly mvt2026'!B:Q,16,FALSE)</f>
        <v>28156898</v>
      </c>
      <c r="K12" s="8">
        <f t="shared" si="0"/>
        <v>77281632.879999995</v>
      </c>
      <c r="Q12" s="2"/>
      <c r="S12" s="2"/>
      <c r="T12" s="14"/>
      <c r="U12" s="14"/>
      <c r="W12" s="19"/>
      <c r="X12" s="2"/>
    </row>
    <row r="13" spans="1:24" x14ac:dyDescent="0.3">
      <c r="A13" s="3">
        <v>9</v>
      </c>
      <c r="B13" s="3" t="s">
        <v>38</v>
      </c>
      <c r="C13" s="3" t="s">
        <v>54</v>
      </c>
      <c r="D13" s="3" t="s">
        <v>52</v>
      </c>
      <c r="E13" s="7">
        <v>182837.69999999998</v>
      </c>
      <c r="F13" s="7">
        <v>173197.44</v>
      </c>
      <c r="G13" s="7">
        <v>181293.375</v>
      </c>
      <c r="H13" s="7">
        <v>584892.36</v>
      </c>
      <c r="I13" s="7">
        <v>602440.02</v>
      </c>
      <c r="J13" s="7">
        <f>VLOOKUP(B13,'Monthly mvt2026'!B:Q,16,FALSE)</f>
        <v>620511.84</v>
      </c>
      <c r="K13" s="8">
        <f t="shared" si="0"/>
        <v>2345172.7349999999</v>
      </c>
      <c r="Q13" s="2"/>
      <c r="S13" s="2"/>
      <c r="T13" s="14"/>
      <c r="U13" s="14"/>
      <c r="W13" s="19"/>
      <c r="X13" s="2"/>
    </row>
    <row r="14" spans="1:24" x14ac:dyDescent="0.3">
      <c r="A14" s="3">
        <v>10</v>
      </c>
      <c r="B14" s="3" t="s">
        <v>38</v>
      </c>
      <c r="C14" s="3" t="s">
        <v>55</v>
      </c>
      <c r="D14" s="3" t="s">
        <v>52</v>
      </c>
      <c r="E14" s="7">
        <v>182837.69999999998</v>
      </c>
      <c r="F14" s="7">
        <v>173197.44</v>
      </c>
      <c r="G14" s="7">
        <v>181293.375</v>
      </c>
      <c r="H14" s="7">
        <v>584892.36</v>
      </c>
      <c r="I14" s="7">
        <v>602440.02</v>
      </c>
      <c r="J14" s="7">
        <f>VLOOKUP(B14,'Monthly mvt2026'!B:Q,16,FALSE)</f>
        <v>620511.84</v>
      </c>
      <c r="K14" s="8">
        <f t="shared" si="0"/>
        <v>2345172.7349999999</v>
      </c>
      <c r="Q14" s="2"/>
      <c r="S14" s="2"/>
      <c r="T14" s="14"/>
      <c r="U14" s="14"/>
      <c r="W14" s="19"/>
      <c r="X14" s="2"/>
    </row>
    <row r="15" spans="1:24" x14ac:dyDescent="0.3">
      <c r="A15" s="3">
        <v>11</v>
      </c>
      <c r="B15" s="3" t="s">
        <v>86</v>
      </c>
      <c r="C15" s="3" t="s">
        <v>53</v>
      </c>
      <c r="D15" s="3" t="s">
        <v>52</v>
      </c>
      <c r="E15" s="7">
        <v>0</v>
      </c>
      <c r="F15" s="7">
        <v>0</v>
      </c>
      <c r="G15" s="7">
        <v>0</v>
      </c>
      <c r="H15" s="7">
        <v>9771671.5999999996</v>
      </c>
      <c r="I15" s="7">
        <v>7671793.29</v>
      </c>
      <c r="J15" s="7">
        <f>VLOOKUP(B15,'Monthly mvt2026'!B:Q,16,FALSE)</f>
        <v>23505121.48</v>
      </c>
      <c r="K15" s="8">
        <f t="shared" si="0"/>
        <v>40948586.370000005</v>
      </c>
      <c r="Q15" s="2"/>
      <c r="S15" s="2"/>
      <c r="T15" s="14"/>
      <c r="U15" s="14"/>
      <c r="W15" s="19"/>
      <c r="X15" s="2"/>
    </row>
    <row r="16" spans="1:24" x14ac:dyDescent="0.3">
      <c r="A16" s="3">
        <v>12</v>
      </c>
      <c r="B16" s="3" t="s">
        <v>92</v>
      </c>
      <c r="C16" s="3" t="s">
        <v>53</v>
      </c>
      <c r="D16" s="3" t="s">
        <v>52</v>
      </c>
      <c r="E16" s="7">
        <v>12548916.101411927</v>
      </c>
      <c r="F16" s="7">
        <v>22465097.296111591</v>
      </c>
      <c r="G16" s="7">
        <v>22642147.047651727</v>
      </c>
      <c r="H16" s="7">
        <v>43065284.310242943</v>
      </c>
      <c r="I16" s="7">
        <v>65116238.064552665</v>
      </c>
      <c r="J16" s="7">
        <f>VLOOKUP(B16,'Monthly mvt2026'!B:Q,16,FALSE)</f>
        <v>25098932.530361682</v>
      </c>
      <c r="K16" s="8">
        <f t="shared" si="0"/>
        <v>190936615.35033253</v>
      </c>
      <c r="Q16" s="2"/>
      <c r="S16" s="2"/>
      <c r="T16" s="14"/>
      <c r="U16" s="14"/>
      <c r="W16" s="19"/>
      <c r="X16" s="2"/>
    </row>
    <row r="17" spans="1:24" x14ac:dyDescent="0.3">
      <c r="A17" s="3">
        <v>13</v>
      </c>
      <c r="B17" s="3" t="s">
        <v>91</v>
      </c>
      <c r="C17" s="3" t="s">
        <v>53</v>
      </c>
      <c r="D17" s="3" t="s">
        <v>52</v>
      </c>
      <c r="E17" s="7">
        <v>3398546.9985880721</v>
      </c>
      <c r="F17" s="7">
        <v>9480484.2538884077</v>
      </c>
      <c r="G17" s="7">
        <v>6269615.3446141016</v>
      </c>
      <c r="H17" s="7">
        <v>8726678.962501578</v>
      </c>
      <c r="I17" s="7">
        <v>14890043.785447344</v>
      </c>
      <c r="J17" s="7">
        <f>VLOOKUP(B17,'Monthly mvt2026'!B:Q,16,FALSE)</f>
        <v>5618525.9296383206</v>
      </c>
      <c r="K17" s="8">
        <f t="shared" si="0"/>
        <v>48383895.274677821</v>
      </c>
      <c r="Q17" s="2"/>
      <c r="S17" s="2"/>
      <c r="T17" s="14"/>
      <c r="U17" s="14"/>
      <c r="W17" s="19"/>
      <c r="X17" s="2"/>
    </row>
    <row r="18" spans="1:24" x14ac:dyDescent="0.3">
      <c r="A18" s="3">
        <v>14</v>
      </c>
      <c r="B18" s="3" t="s">
        <v>48</v>
      </c>
      <c r="C18" s="3" t="s">
        <v>56</v>
      </c>
      <c r="D18" s="3" t="s">
        <v>52</v>
      </c>
      <c r="E18" s="7">
        <v>2700</v>
      </c>
      <c r="F18" s="7">
        <v>0</v>
      </c>
      <c r="G18" s="7">
        <v>0</v>
      </c>
      <c r="H18" s="7">
        <v>0</v>
      </c>
      <c r="I18" s="7">
        <v>42500</v>
      </c>
      <c r="J18" s="7">
        <f>VLOOKUP(B18,'Monthly mvt2026'!B:Q,16,FALSE)</f>
        <v>0</v>
      </c>
      <c r="K18" s="8">
        <f t="shared" si="0"/>
        <v>45200</v>
      </c>
      <c r="Q18" s="2"/>
      <c r="S18" s="2"/>
      <c r="T18" s="14"/>
      <c r="U18" s="14"/>
      <c r="W18" s="19"/>
      <c r="X18" s="2"/>
    </row>
    <row r="19" spans="1:24" x14ac:dyDescent="0.3">
      <c r="A19" s="3">
        <v>15</v>
      </c>
      <c r="B19" s="3" t="s">
        <v>44</v>
      </c>
      <c r="C19" s="4" t="s">
        <v>53</v>
      </c>
      <c r="D19" s="3" t="s">
        <v>52</v>
      </c>
      <c r="E19" s="7">
        <v>0</v>
      </c>
      <c r="F19" s="7">
        <v>8338656.0499999998</v>
      </c>
      <c r="G19" s="7">
        <v>28802809.73</v>
      </c>
      <c r="H19" s="7">
        <v>217667039</v>
      </c>
      <c r="I19" s="7">
        <v>60146124.939999998</v>
      </c>
      <c r="J19" s="7">
        <f>VLOOKUP(B19,'Monthly mvt2026'!B:Q,16,FALSE)</f>
        <v>0</v>
      </c>
      <c r="K19" s="8">
        <f t="shared" si="0"/>
        <v>314954629.72000003</v>
      </c>
      <c r="Q19" s="2"/>
      <c r="S19" s="2"/>
      <c r="T19" s="14"/>
      <c r="U19" s="14"/>
      <c r="W19" s="19"/>
      <c r="X19" s="2"/>
    </row>
    <row r="20" spans="1:24" x14ac:dyDescent="0.3">
      <c r="A20" s="3">
        <v>16</v>
      </c>
      <c r="B20" s="3" t="s">
        <v>33</v>
      </c>
      <c r="C20" s="3" t="s">
        <v>53</v>
      </c>
      <c r="D20" s="3" t="s">
        <v>52</v>
      </c>
      <c r="E20" s="7">
        <v>1135876.19</v>
      </c>
      <c r="F20" s="7">
        <v>2194451.6800000002</v>
      </c>
      <c r="G20" s="7">
        <v>5034858.53</v>
      </c>
      <c r="H20" s="7">
        <v>1430554.6502968459</v>
      </c>
      <c r="I20" s="7">
        <v>2470773.6799999997</v>
      </c>
      <c r="J20" s="7">
        <f>VLOOKUP(B20,'Monthly mvt2026'!B:Q,16,FALSE)</f>
        <v>830129.38</v>
      </c>
      <c r="K20" s="8">
        <f t="shared" si="0"/>
        <v>13096644.110296847</v>
      </c>
      <c r="Q20" s="2"/>
      <c r="S20" s="2"/>
      <c r="T20" s="14"/>
      <c r="U20" s="14"/>
      <c r="W20" s="19"/>
      <c r="X20" s="2"/>
    </row>
    <row r="21" spans="1:24" x14ac:dyDescent="0.3">
      <c r="A21" s="3">
        <v>17</v>
      </c>
      <c r="B21" s="3" t="s">
        <v>80</v>
      </c>
      <c r="C21" s="3" t="s">
        <v>56</v>
      </c>
      <c r="D21" s="3" t="s">
        <v>52</v>
      </c>
      <c r="E21" s="7">
        <v>0</v>
      </c>
      <c r="F21" s="7">
        <v>39359.03</v>
      </c>
      <c r="G21" s="7">
        <v>0</v>
      </c>
      <c r="H21" s="7">
        <v>133582</v>
      </c>
      <c r="I21" s="7">
        <v>137557.84</v>
      </c>
      <c r="J21" s="7">
        <f>VLOOKUP(B21,'Monthly mvt2026'!B:Q,16,FALSE)</f>
        <v>141533.5</v>
      </c>
      <c r="K21" s="8">
        <f t="shared" si="0"/>
        <v>452032.37</v>
      </c>
      <c r="Q21" s="2"/>
      <c r="S21" s="2"/>
      <c r="T21" s="14"/>
      <c r="U21" s="14"/>
      <c r="W21" s="19"/>
      <c r="X21" s="2"/>
    </row>
    <row r="22" spans="1:24" x14ac:dyDescent="0.3">
      <c r="A22" s="3">
        <v>18</v>
      </c>
      <c r="B22" s="3" t="s">
        <v>36</v>
      </c>
      <c r="C22" s="3" t="s">
        <v>56</v>
      </c>
      <c r="D22" s="3" t="s">
        <v>52</v>
      </c>
      <c r="E22" s="7">
        <v>0</v>
      </c>
      <c r="F22" s="7">
        <v>41125</v>
      </c>
      <c r="G22" s="7">
        <v>71260</v>
      </c>
      <c r="H22" s="7">
        <v>58072.46</v>
      </c>
      <c r="I22" s="7">
        <v>112140</v>
      </c>
      <c r="J22" s="7">
        <f>VLOOKUP(B22,'Monthly mvt2026'!B:Q,16,FALSE)</f>
        <v>0</v>
      </c>
      <c r="K22" s="8">
        <f t="shared" si="0"/>
        <v>282597.45999999996</v>
      </c>
      <c r="Q22" s="2"/>
      <c r="S22" s="2"/>
      <c r="T22" s="14"/>
      <c r="U22" s="14"/>
      <c r="W22" s="19"/>
      <c r="X22" s="2"/>
    </row>
    <row r="23" spans="1:24" x14ac:dyDescent="0.3">
      <c r="A23" s="3">
        <v>19</v>
      </c>
      <c r="B23" s="3" t="s">
        <v>29</v>
      </c>
      <c r="C23" s="3" t="s">
        <v>55</v>
      </c>
      <c r="D23" s="3" t="s">
        <v>52</v>
      </c>
      <c r="E23" s="7">
        <v>9325</v>
      </c>
      <c r="F23" s="7">
        <v>500</v>
      </c>
      <c r="G23" s="7">
        <v>500</v>
      </c>
      <c r="H23" s="7">
        <v>500</v>
      </c>
      <c r="I23" s="7">
        <v>500</v>
      </c>
      <c r="J23" s="7">
        <f>VLOOKUP(B23,'Monthly mvt2026'!B:Q,16,FALSE)</f>
        <v>0</v>
      </c>
      <c r="K23" s="8">
        <f t="shared" si="0"/>
        <v>11325</v>
      </c>
      <c r="Q23" s="2"/>
      <c r="S23" s="2"/>
      <c r="T23" s="14"/>
      <c r="U23" s="14"/>
      <c r="W23" s="19"/>
      <c r="X23" s="2"/>
    </row>
    <row r="24" spans="1:24" x14ac:dyDescent="0.3">
      <c r="A24" s="3">
        <v>20</v>
      </c>
      <c r="B24" s="3" t="s">
        <v>64</v>
      </c>
      <c r="C24" s="3" t="s">
        <v>55</v>
      </c>
      <c r="D24" s="3" t="s">
        <v>52</v>
      </c>
      <c r="E24" s="7">
        <v>8993901.379999999</v>
      </c>
      <c r="F24" s="7">
        <v>33704943.869999997</v>
      </c>
      <c r="G24" s="7">
        <v>29306939.179999992</v>
      </c>
      <c r="H24" s="7">
        <v>40467933.640000001</v>
      </c>
      <c r="I24" s="7">
        <v>42626166.259999998</v>
      </c>
      <c r="J24" s="7">
        <f>VLOOKUP(B24,'Monthly mvt2026'!B:Q,16,FALSE)</f>
        <v>11668066.65</v>
      </c>
      <c r="K24" s="8">
        <f t="shared" si="0"/>
        <v>166767950.97999999</v>
      </c>
      <c r="Q24" s="2"/>
      <c r="S24" s="2"/>
      <c r="T24" s="14"/>
      <c r="U24" s="14"/>
      <c r="W24" s="19"/>
      <c r="X24" s="2"/>
    </row>
    <row r="25" spans="1:24" x14ac:dyDescent="0.3">
      <c r="A25" s="3">
        <v>21</v>
      </c>
      <c r="B25" s="3" t="s">
        <v>66</v>
      </c>
      <c r="C25" s="3" t="s">
        <v>56</v>
      </c>
      <c r="D25" s="3" t="s">
        <v>52</v>
      </c>
      <c r="E25" s="7">
        <v>4011692.58</v>
      </c>
      <c r="F25" s="7">
        <v>17548289.649999999</v>
      </c>
      <c r="G25" s="7">
        <v>16148792.780000001</v>
      </c>
      <c r="H25" s="7">
        <v>20619004.199999996</v>
      </c>
      <c r="I25" s="7">
        <v>24053167.199999999</v>
      </c>
      <c r="J25" s="7">
        <f>VLOOKUP(B25,'Monthly mvt2026'!B:Q,16,FALSE)</f>
        <v>7891644.3899999997</v>
      </c>
      <c r="K25" s="8">
        <f t="shared" si="0"/>
        <v>90272590.799999997</v>
      </c>
      <c r="Q25" s="2"/>
      <c r="S25" s="2"/>
      <c r="T25" s="14"/>
      <c r="U25" s="14"/>
      <c r="W25" s="19"/>
      <c r="X25" s="2"/>
    </row>
    <row r="26" spans="1:24" x14ac:dyDescent="0.3">
      <c r="A26" s="3">
        <v>22</v>
      </c>
      <c r="B26" s="3" t="s">
        <v>70</v>
      </c>
      <c r="C26" s="3" t="s">
        <v>74</v>
      </c>
      <c r="D26" s="3" t="s">
        <v>52</v>
      </c>
      <c r="E26" s="7">
        <v>2991876.0100000007</v>
      </c>
      <c r="F26" s="7">
        <v>9528766.3099999987</v>
      </c>
      <c r="G26" s="7">
        <v>12663295.899999999</v>
      </c>
      <c r="H26" s="7">
        <v>10640873.5</v>
      </c>
      <c r="I26" s="7">
        <v>13865631.940000005</v>
      </c>
      <c r="J26" s="7">
        <f>VLOOKUP(B26,'Monthly mvt2026'!B:Q,16,FALSE)</f>
        <v>5628055.75</v>
      </c>
      <c r="K26" s="8">
        <f t="shared" si="0"/>
        <v>55318499.410000004</v>
      </c>
      <c r="Q26" s="2"/>
      <c r="S26" s="2"/>
      <c r="T26" s="14"/>
      <c r="U26" s="14"/>
      <c r="W26" s="19"/>
      <c r="X26" s="2"/>
    </row>
    <row r="27" spans="1:24" x14ac:dyDescent="0.3">
      <c r="A27" s="3">
        <v>23</v>
      </c>
      <c r="B27" s="3" t="s">
        <v>68</v>
      </c>
      <c r="C27" s="3" t="s">
        <v>73</v>
      </c>
      <c r="D27" s="3" t="s">
        <v>52</v>
      </c>
      <c r="E27" s="7">
        <v>0</v>
      </c>
      <c r="F27" s="7">
        <v>4491171.9200000009</v>
      </c>
      <c r="G27" s="7">
        <v>8227534.7700000005</v>
      </c>
      <c r="H27" s="7">
        <v>8752061.1799999978</v>
      </c>
      <c r="I27" s="7">
        <v>7060683.0700000012</v>
      </c>
      <c r="J27" s="7">
        <f>VLOOKUP(B27,'Monthly mvt2026'!B:Q,16,FALSE)</f>
        <v>1916565.47</v>
      </c>
      <c r="K27" s="8">
        <f t="shared" si="0"/>
        <v>30448016.409999996</v>
      </c>
      <c r="Q27" s="2"/>
      <c r="S27" s="2"/>
      <c r="T27" s="14"/>
      <c r="U27" s="14"/>
      <c r="W27" s="19"/>
      <c r="X27" s="2"/>
    </row>
    <row r="28" spans="1:24" x14ac:dyDescent="0.3">
      <c r="A28" s="3">
        <v>24</v>
      </c>
      <c r="B28" s="3" t="s">
        <v>72</v>
      </c>
      <c r="C28" s="3" t="s">
        <v>89</v>
      </c>
      <c r="D28" s="3" t="s">
        <v>52</v>
      </c>
      <c r="E28" s="7">
        <v>0</v>
      </c>
      <c r="F28" s="7">
        <v>0</v>
      </c>
      <c r="G28" s="7">
        <v>0</v>
      </c>
      <c r="H28" s="7">
        <v>10010854.040000001</v>
      </c>
      <c r="I28" s="7">
        <v>9788408.7599999998</v>
      </c>
      <c r="J28" s="7">
        <f>VLOOKUP(B28,'Monthly mvt2026'!B:Q,16,FALSE)</f>
        <v>3296351.8100000005</v>
      </c>
      <c r="K28" s="8">
        <f t="shared" si="0"/>
        <v>23095614.609999999</v>
      </c>
      <c r="Q28" s="2"/>
      <c r="S28" s="2"/>
      <c r="T28" s="14"/>
      <c r="U28" s="14"/>
      <c r="W28" s="19"/>
      <c r="X28" s="2"/>
    </row>
    <row r="29" spans="1:24" x14ac:dyDescent="0.3">
      <c r="A29" s="3">
        <v>25</v>
      </c>
      <c r="B29" s="3" t="s">
        <v>82</v>
      </c>
      <c r="C29" s="3" t="s">
        <v>55</v>
      </c>
      <c r="D29" s="3" t="s">
        <v>52</v>
      </c>
      <c r="E29" s="7">
        <v>0</v>
      </c>
      <c r="F29" s="7">
        <v>0</v>
      </c>
      <c r="G29" s="7">
        <v>0</v>
      </c>
      <c r="H29" s="7">
        <v>0</v>
      </c>
      <c r="I29" s="7">
        <v>356473.63</v>
      </c>
      <c r="J29" s="7">
        <f>VLOOKUP(B29,'Monthly mvt2026'!B:Q,16,FALSE)</f>
        <v>0</v>
      </c>
      <c r="K29" s="8">
        <f t="shared" si="0"/>
        <v>356473.63</v>
      </c>
      <c r="Q29" s="2"/>
      <c r="S29" s="2"/>
      <c r="T29" s="14"/>
      <c r="U29" s="14"/>
      <c r="W29" s="19"/>
      <c r="X29" s="2"/>
    </row>
    <row r="30" spans="1:24" x14ac:dyDescent="0.3">
      <c r="A30" s="3">
        <v>26</v>
      </c>
      <c r="B30" s="3" t="s">
        <v>32</v>
      </c>
      <c r="C30" s="3" t="s">
        <v>57</v>
      </c>
      <c r="D30" s="3" t="s">
        <v>52</v>
      </c>
      <c r="E30" s="7">
        <v>333518.21999999997</v>
      </c>
      <c r="F30" s="7">
        <v>708322.69</v>
      </c>
      <c r="G30" s="7">
        <v>2004322.26</v>
      </c>
      <c r="H30" s="7">
        <v>822828.57000000007</v>
      </c>
      <c r="I30" s="7">
        <v>480164.92</v>
      </c>
      <c r="J30" s="7">
        <f>VLOOKUP(B30,'Monthly mvt2026'!B:Q,16,FALSE)</f>
        <v>366939</v>
      </c>
      <c r="K30" s="8">
        <f t="shared" si="0"/>
        <v>4716095.66</v>
      </c>
      <c r="Q30" s="2"/>
      <c r="S30" s="2"/>
      <c r="T30" s="14"/>
      <c r="U30" s="14"/>
      <c r="W30" s="19"/>
      <c r="X30" s="2"/>
    </row>
    <row r="31" spans="1:24" x14ac:dyDescent="0.3">
      <c r="A31" s="3">
        <v>27</v>
      </c>
      <c r="B31" s="3" t="s">
        <v>32</v>
      </c>
      <c r="C31" s="3" t="s">
        <v>57</v>
      </c>
      <c r="D31" s="3" t="s">
        <v>52</v>
      </c>
      <c r="E31" s="7">
        <v>333518.21999999997</v>
      </c>
      <c r="F31" s="7">
        <v>708322.69</v>
      </c>
      <c r="G31" s="7">
        <v>2004322.26</v>
      </c>
      <c r="H31" s="7">
        <v>822828.57000000007</v>
      </c>
      <c r="I31" s="7">
        <v>480164.92</v>
      </c>
      <c r="J31" s="7">
        <f>VLOOKUP(B31,'Monthly mvt2026'!B:Q,16,FALSE)</f>
        <v>366939</v>
      </c>
      <c r="K31" s="8">
        <f t="shared" si="0"/>
        <v>4716095.66</v>
      </c>
      <c r="Q31" s="2"/>
      <c r="S31" s="2"/>
      <c r="T31" s="14"/>
      <c r="U31" s="14"/>
      <c r="W31" s="19"/>
      <c r="X31" s="2"/>
    </row>
    <row r="32" spans="1:24" x14ac:dyDescent="0.3">
      <c r="A32" s="3">
        <v>28</v>
      </c>
      <c r="B32" s="3" t="s">
        <v>40</v>
      </c>
      <c r="C32" s="3" t="s">
        <v>55</v>
      </c>
      <c r="D32" s="3" t="s">
        <v>52</v>
      </c>
      <c r="E32" s="7">
        <v>6769764.8600000003</v>
      </c>
      <c r="F32" s="7">
        <v>8997632.9100000001</v>
      </c>
      <c r="G32" s="7">
        <v>10889671.09</v>
      </c>
      <c r="H32" s="7">
        <v>17203258</v>
      </c>
      <c r="I32" s="7">
        <v>31232450.5</v>
      </c>
      <c r="J32" s="7">
        <f>VLOOKUP(B32,'Monthly mvt2026'!B:Q,16,FALSE)</f>
        <v>6237.92</v>
      </c>
      <c r="K32" s="8">
        <f t="shared" si="0"/>
        <v>75099015.280000001</v>
      </c>
      <c r="Q32" s="2"/>
      <c r="S32" s="2"/>
      <c r="T32" s="14"/>
      <c r="U32" s="14"/>
      <c r="W32" s="19"/>
      <c r="X32" s="2"/>
    </row>
    <row r="33" spans="1:24" x14ac:dyDescent="0.3">
      <c r="A33" s="3">
        <v>29</v>
      </c>
      <c r="B33" s="3" t="s">
        <v>41</v>
      </c>
      <c r="C33" s="3" t="s">
        <v>55</v>
      </c>
      <c r="D33" s="3" t="s">
        <v>52</v>
      </c>
      <c r="E33" s="7">
        <v>171077.56</v>
      </c>
      <c r="F33" s="7">
        <v>369514.98</v>
      </c>
      <c r="G33" s="7">
        <v>159580.87</v>
      </c>
      <c r="H33" s="7">
        <v>44886.74</v>
      </c>
      <c r="I33" s="7">
        <v>194568.32000000001</v>
      </c>
      <c r="J33" s="7">
        <f>VLOOKUP(B33,'Monthly mvt2026'!B:Q,16,FALSE)</f>
        <v>46449.279999999999</v>
      </c>
      <c r="K33" s="8">
        <f t="shared" si="0"/>
        <v>986077.75</v>
      </c>
      <c r="Q33" s="2"/>
      <c r="S33" s="2"/>
      <c r="T33" s="14"/>
      <c r="U33" s="14"/>
      <c r="W33" s="19"/>
      <c r="X33" s="2"/>
    </row>
    <row r="34" spans="1:24" x14ac:dyDescent="0.3">
      <c r="A34" s="3">
        <v>30</v>
      </c>
      <c r="B34" s="3" t="s">
        <v>50</v>
      </c>
      <c r="C34" s="3" t="s">
        <v>55</v>
      </c>
      <c r="D34" s="3" t="s">
        <v>52</v>
      </c>
      <c r="E34" s="7">
        <v>65353.65</v>
      </c>
      <c r="F34" s="7">
        <v>73727</v>
      </c>
      <c r="G34" s="7">
        <v>160600</v>
      </c>
      <c r="H34" s="7">
        <v>81767.72</v>
      </c>
      <c r="I34" s="7">
        <v>0</v>
      </c>
      <c r="J34" s="7">
        <f>VLOOKUP(B34,'Monthly mvt2026'!B:Q,16,FALSE)</f>
        <v>0</v>
      </c>
      <c r="K34" s="8">
        <f t="shared" si="0"/>
        <v>381448.37</v>
      </c>
      <c r="Q34" s="2"/>
      <c r="S34" s="2"/>
      <c r="T34" s="14"/>
      <c r="U34" s="14"/>
      <c r="W34" s="19"/>
      <c r="X34" s="2"/>
    </row>
    <row r="35" spans="1:24" x14ac:dyDescent="0.3">
      <c r="A35" s="3">
        <v>31</v>
      </c>
      <c r="B35" s="3" t="s">
        <v>43</v>
      </c>
      <c r="C35" s="3" t="s">
        <v>53</v>
      </c>
      <c r="D35" s="3" t="s">
        <v>52</v>
      </c>
      <c r="E35" s="7">
        <v>2335795.66</v>
      </c>
      <c r="F35" s="7">
        <v>4477049.5200000005</v>
      </c>
      <c r="G35" s="7">
        <v>6560310.9099999992</v>
      </c>
      <c r="H35" s="7">
        <v>4805254.42</v>
      </c>
      <c r="I35" s="7">
        <v>4050708.2600000002</v>
      </c>
      <c r="J35" s="7">
        <f>VLOOKUP(B35,'Monthly mvt2026'!B:Q,16,FALSE)</f>
        <v>3858740.55</v>
      </c>
      <c r="K35" s="8">
        <f t="shared" si="0"/>
        <v>26087859.32</v>
      </c>
      <c r="Q35" s="2"/>
      <c r="S35" s="2"/>
      <c r="T35" s="14"/>
      <c r="U35" s="14"/>
      <c r="W35" s="19"/>
      <c r="X35" s="2"/>
    </row>
    <row r="36" spans="1:24" x14ac:dyDescent="0.3">
      <c r="A36" s="3">
        <v>32</v>
      </c>
      <c r="B36" s="3" t="s">
        <v>83</v>
      </c>
      <c r="C36" s="3" t="s">
        <v>55</v>
      </c>
      <c r="D36" s="3" t="s">
        <v>52</v>
      </c>
      <c r="E36" s="7">
        <v>0</v>
      </c>
      <c r="F36" s="7">
        <v>0</v>
      </c>
      <c r="G36" s="7">
        <v>0</v>
      </c>
      <c r="H36" s="7">
        <v>0</v>
      </c>
      <c r="I36" s="7">
        <v>558465.68000000005</v>
      </c>
      <c r="J36" s="7">
        <f>VLOOKUP(B36,'Monthly mvt2026'!B:Q,16,FALSE)</f>
        <v>44901.009999999995</v>
      </c>
      <c r="K36" s="8">
        <f t="shared" si="0"/>
        <v>603366.69000000006</v>
      </c>
      <c r="Q36" s="2"/>
      <c r="S36" s="2"/>
      <c r="T36" s="14"/>
      <c r="U36" s="14"/>
      <c r="W36" s="19"/>
      <c r="X36" s="2"/>
    </row>
    <row r="37" spans="1:24" x14ac:dyDescent="0.3">
      <c r="A37" s="3"/>
      <c r="B37" s="3"/>
      <c r="C37" s="3"/>
      <c r="D37" s="3"/>
      <c r="E37" s="7"/>
      <c r="F37" s="7"/>
      <c r="G37" s="7"/>
      <c r="H37" s="7"/>
      <c r="I37" s="7"/>
      <c r="J37" s="7"/>
      <c r="K37" s="8"/>
    </row>
    <row r="38" spans="1:24" s="2" customFormat="1" x14ac:dyDescent="0.3">
      <c r="A38" s="1"/>
      <c r="B38" s="1" t="s">
        <v>46</v>
      </c>
      <c r="C38" s="1"/>
      <c r="D38" s="1" t="s">
        <v>52</v>
      </c>
      <c r="E38" s="8">
        <f>SUM(E5:E37)</f>
        <v>53311018.179999992</v>
      </c>
      <c r="F38" s="8">
        <f t="shared" ref="F38:K38" si="1">SUM(F5:F37)</f>
        <v>148981983.94000003</v>
      </c>
      <c r="G38" s="8">
        <f t="shared" si="1"/>
        <v>196984378.5</v>
      </c>
      <c r="H38" s="8">
        <f t="shared" si="1"/>
        <v>451128634.60899788</v>
      </c>
      <c r="I38" s="8"/>
      <c r="J38" s="8">
        <f t="shared" si="1"/>
        <v>139747832.74000001</v>
      </c>
      <c r="K38" s="8">
        <f t="shared" si="1"/>
        <v>1651865079.0789983</v>
      </c>
      <c r="M38" s="4"/>
      <c r="N38" s="4"/>
      <c r="O38" s="4"/>
      <c r="T38" s="14"/>
      <c r="U38" s="14"/>
    </row>
    <row r="40" spans="1:24" x14ac:dyDescent="0.3">
      <c r="E40" s="9"/>
      <c r="F40" s="9"/>
      <c r="G40" s="9"/>
      <c r="H40" s="9"/>
      <c r="I40" s="9"/>
      <c r="J40" s="9"/>
    </row>
    <row r="42" spans="1:24" x14ac:dyDescent="0.3">
      <c r="E42" s="10"/>
      <c r="F42" s="10"/>
      <c r="G42" s="10"/>
      <c r="H42" s="10"/>
      <c r="I42" s="10"/>
      <c r="J42" s="10"/>
    </row>
  </sheetData>
  <sortState xmlns:xlrd2="http://schemas.microsoft.com/office/spreadsheetml/2017/richdata2" ref="A5:K37">
    <sortCondition ref="B5:B37"/>
  </sortState>
  <pageMargins left="0.7" right="0.7" top="0.75" bottom="0.75" header="0.3" footer="0.3"/>
  <pageSetup scale="72"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7FE75-6320-44C6-9EE8-C9CF7E735362}">
  <sheetPr>
    <tabColor theme="5"/>
    <pageSetUpPr fitToPage="1"/>
  </sheetPr>
  <dimension ref="A1:DB56"/>
  <sheetViews>
    <sheetView tabSelected="1" workbookViewId="0">
      <pane ySplit="5" topLeftCell="A6" activePane="bottomLeft" state="frozen"/>
      <selection activeCell="S35" sqref="S35"/>
      <selection pane="bottomLeft" activeCell="C17" sqref="C17"/>
    </sheetView>
  </sheetViews>
  <sheetFormatPr defaultColWidth="9.109375" defaultRowHeight="14.4" x14ac:dyDescent="0.3"/>
  <cols>
    <col min="1" max="1" width="3.44140625" style="4" bestFit="1" customWidth="1"/>
    <col min="2" max="2" width="64" style="4" bestFit="1" customWidth="1"/>
    <col min="3" max="3" width="91.6640625" style="4" bestFit="1" customWidth="1"/>
    <col min="4" max="4" width="7.109375" style="4" customWidth="1"/>
    <col min="5" max="5" width="13.5546875" style="4" bestFit="1" customWidth="1"/>
    <col min="6" max="6" width="12.5546875" style="4" bestFit="1" customWidth="1"/>
    <col min="7" max="7" width="12.77734375" style="4" bestFit="1" customWidth="1"/>
    <col min="8" max="8" width="12.88671875" style="4" bestFit="1" customWidth="1"/>
    <col min="9" max="9" width="12.77734375" style="4" bestFit="1" customWidth="1"/>
    <col min="10" max="11" width="13.44140625" style="4" bestFit="1" customWidth="1"/>
    <col min="12" max="12" width="13.109375" style="4" bestFit="1" customWidth="1"/>
    <col min="13" max="13" width="12.33203125" style="4" bestFit="1" customWidth="1"/>
    <col min="14" max="14" width="12.6640625" style="4" bestFit="1" customWidth="1"/>
    <col min="15" max="15" width="13.5546875" style="4" bestFit="1" customWidth="1"/>
    <col min="16" max="16" width="12.33203125" style="4" bestFit="1" customWidth="1"/>
    <col min="17" max="17" width="12.6640625" style="2" bestFit="1" customWidth="1"/>
    <col min="18" max="18" width="21.77734375" style="4" customWidth="1"/>
    <col min="19" max="19" width="62.21875" style="4" bestFit="1" customWidth="1"/>
    <col min="20" max="20" width="21.33203125" style="4" bestFit="1" customWidth="1"/>
    <col min="21" max="21" width="11.33203125" style="13" bestFit="1" customWidth="1"/>
    <col min="22" max="22" width="11" style="13" bestFit="1" customWidth="1"/>
    <col min="23" max="23" width="9.109375" style="13"/>
    <col min="24" max="24" width="12.33203125" style="14" bestFit="1" customWidth="1"/>
    <col min="25" max="25" width="7.109375" style="4" bestFit="1" customWidth="1"/>
    <col min="26" max="26" width="8.88671875" style="4" bestFit="1" customWidth="1"/>
    <col min="27" max="27" width="13.5546875" style="13" bestFit="1" customWidth="1"/>
    <col min="28" max="28" width="14.5546875" style="13" bestFit="1" customWidth="1"/>
    <col min="29" max="29" width="5.21875" style="13" bestFit="1" customWidth="1"/>
    <col min="30" max="16384" width="9.109375" style="4"/>
  </cols>
  <sheetData>
    <row r="1" spans="1:106" x14ac:dyDescent="0.3">
      <c r="B1" s="41" t="s">
        <v>88</v>
      </c>
      <c r="C1" s="41"/>
    </row>
    <row r="2" spans="1:106" x14ac:dyDescent="0.3">
      <c r="B2" s="41"/>
      <c r="C2" s="41"/>
    </row>
    <row r="3" spans="1:106" x14ac:dyDescent="0.3">
      <c r="B3" s="42"/>
      <c r="C3" s="42"/>
    </row>
    <row r="4" spans="1:106" x14ac:dyDescent="0.3">
      <c r="B4" s="32"/>
      <c r="C4" s="32"/>
    </row>
    <row r="5" spans="1:106" s="2" customFormat="1" x14ac:dyDescent="0.3">
      <c r="A5" s="6" t="s">
        <v>28</v>
      </c>
      <c r="B5" s="6" t="s">
        <v>77</v>
      </c>
      <c r="C5" s="6" t="s">
        <v>78</v>
      </c>
      <c r="D5" s="6" t="s">
        <v>79</v>
      </c>
      <c r="E5" s="16">
        <v>46023</v>
      </c>
      <c r="F5" s="16">
        <v>46054</v>
      </c>
      <c r="G5" s="16">
        <v>46082</v>
      </c>
      <c r="H5" s="16">
        <v>46113</v>
      </c>
      <c r="I5" s="16">
        <v>46143</v>
      </c>
      <c r="J5" s="16">
        <v>46174</v>
      </c>
      <c r="K5" s="16">
        <v>46204</v>
      </c>
      <c r="L5" s="16">
        <v>46235</v>
      </c>
      <c r="M5" s="16">
        <v>46266</v>
      </c>
      <c r="N5" s="16">
        <v>46296</v>
      </c>
      <c r="O5" s="16">
        <v>46327</v>
      </c>
      <c r="P5" s="16">
        <v>46357</v>
      </c>
      <c r="Q5" s="6" t="s">
        <v>46</v>
      </c>
      <c r="U5" s="14"/>
      <c r="V5" s="13"/>
      <c r="W5" s="14"/>
      <c r="X5" s="14"/>
      <c r="Z5" s="4"/>
      <c r="AA5" s="14"/>
      <c r="AB5" s="13"/>
      <c r="AC5" s="13"/>
    </row>
    <row r="6" spans="1:106" s="2" customFormat="1" x14ac:dyDescent="0.3">
      <c r="A6" s="3">
        <v>1</v>
      </c>
      <c r="B6" s="3" t="s">
        <v>47</v>
      </c>
      <c r="C6" s="3" t="s">
        <v>53</v>
      </c>
      <c r="D6" s="3" t="s">
        <v>52</v>
      </c>
      <c r="E6" s="33">
        <f>VLOOKUP(B6,[1]Summary!$C:$S,4,FALSE)</f>
        <v>0</v>
      </c>
      <c r="F6" s="33">
        <f>VLOOKUP(B6,[1]Summary!$C:$S,5,FALSE)</f>
        <v>0</v>
      </c>
      <c r="G6" s="33">
        <f>VLOOKUP(B6,[1]Summary!$C:$S,6,FALSE)</f>
        <v>0</v>
      </c>
      <c r="H6" s="35">
        <f>VLOOKUP(B6,[1]Summary!$C:$S,7,FALSE)</f>
        <v>0</v>
      </c>
      <c r="I6" s="35">
        <f>VLOOKUP(B6,[1]Summary!$C:$S,8,FALSE)</f>
        <v>0</v>
      </c>
      <c r="J6" s="35">
        <f>VLOOKUP(B6,[1]Summary!$C:$S,9,FALSE)</f>
        <v>0</v>
      </c>
      <c r="K6" s="37">
        <f>VLOOKUP(B6,[1]Summary!$C:$S,10,FALSE)</f>
        <v>0</v>
      </c>
      <c r="L6" s="37">
        <f>VLOOKUP(B6,[1]Summary!$C:$S,11,FALSE)</f>
        <v>0</v>
      </c>
      <c r="M6" s="37">
        <f>VLOOKUP(B6,[1]Summary!$C:$S,12,FALSE)</f>
        <v>0</v>
      </c>
      <c r="N6" s="39">
        <f>VLOOKUP(B6,[1]Summary!$C:$S,13,FALSE)</f>
        <v>0</v>
      </c>
      <c r="O6" s="39">
        <f>VLOOKUP(B6,[1]Summary!$C:$S,14,FALSE)</f>
        <v>0</v>
      </c>
      <c r="P6" s="39">
        <f>VLOOKUP(B6,[1]Summary!$C:$S,15,FALSE)</f>
        <v>0</v>
      </c>
      <c r="Q6" s="8">
        <f>SUM(E6:P6)</f>
        <v>0</v>
      </c>
      <c r="T6" s="4"/>
      <c r="U6" s="13"/>
      <c r="V6" s="13"/>
      <c r="W6" s="14"/>
      <c r="X6" s="14"/>
      <c r="Y6" s="4"/>
      <c r="Z6" s="4"/>
      <c r="AA6" s="14"/>
      <c r="AB6" s="13"/>
      <c r="AC6" s="13"/>
    </row>
    <row r="7" spans="1:106" x14ac:dyDescent="0.3">
      <c r="A7" s="3">
        <v>2</v>
      </c>
      <c r="B7" s="3" t="s">
        <v>39</v>
      </c>
      <c r="C7" s="3" t="s">
        <v>55</v>
      </c>
      <c r="D7" s="3" t="s">
        <v>52</v>
      </c>
      <c r="E7" s="33">
        <f>VLOOKUP(B7,[1]Summary!$C:$S,4,FALSE)</f>
        <v>0</v>
      </c>
      <c r="F7" s="33">
        <f>VLOOKUP(B7,[1]Summary!$C:$S,5,FALSE)</f>
        <v>0</v>
      </c>
      <c r="G7" s="33">
        <f>VLOOKUP(B7,[1]Summary!$C:$S,6,FALSE)</f>
        <v>6331.86</v>
      </c>
      <c r="H7" s="35">
        <f>VLOOKUP(B7,[1]Summary!$C:$S,7,FALSE)</f>
        <v>0</v>
      </c>
      <c r="I7" s="35">
        <f>VLOOKUP(B7,[1]Summary!$C:$S,8,FALSE)</f>
        <v>0</v>
      </c>
      <c r="J7" s="35">
        <f>VLOOKUP(B7,[1]Summary!$C:$S,9,FALSE)</f>
        <v>0</v>
      </c>
      <c r="K7" s="37">
        <f>VLOOKUP(B7,[1]Summary!$C:$S,10,FALSE)</f>
        <v>0</v>
      </c>
      <c r="L7" s="37">
        <f>VLOOKUP(B7,[1]Summary!$C:$S,11,FALSE)</f>
        <v>0</v>
      </c>
      <c r="M7" s="37">
        <f>VLOOKUP(B7,[1]Summary!$C:$S,12,FALSE)</f>
        <v>0</v>
      </c>
      <c r="N7" s="39">
        <f>VLOOKUP(B7,[1]Summary!$C:$S,13,FALSE)</f>
        <v>0</v>
      </c>
      <c r="O7" s="39">
        <f>VLOOKUP(B7,[1]Summary!$C:$S,14,FALSE)</f>
        <v>0</v>
      </c>
      <c r="P7" s="39">
        <f>VLOOKUP(B7,[1]Summary!$C:$S,15,FALSE)</f>
        <v>0</v>
      </c>
      <c r="Q7" s="8">
        <f t="shared" ref="Q7:Q38" si="0">SUM(E7:P7)</f>
        <v>6331.86</v>
      </c>
      <c r="AA7" s="14"/>
      <c r="AD7" s="2"/>
    </row>
    <row r="8" spans="1:106" s="2" customFormat="1" x14ac:dyDescent="0.3">
      <c r="A8" s="3">
        <v>3</v>
      </c>
      <c r="B8" s="3" t="s">
        <v>84</v>
      </c>
      <c r="C8" s="3" t="s">
        <v>56</v>
      </c>
      <c r="D8" s="3" t="s">
        <v>52</v>
      </c>
      <c r="E8" s="33">
        <f>VLOOKUP(B8,[1]Summary!$C:$S,4,FALSE)</f>
        <v>2500</v>
      </c>
      <c r="F8" s="33">
        <f>VLOOKUP(B8,[1]Summary!$C:$S,5,FALSE)</f>
        <v>0</v>
      </c>
      <c r="G8" s="33">
        <f>VLOOKUP(B8,[1]Summary!$C:$S,6,FALSE)</f>
        <v>0</v>
      </c>
      <c r="H8" s="35">
        <f>VLOOKUP(B8,[1]Summary!$C:$S,7,FALSE)</f>
        <v>0</v>
      </c>
      <c r="I8" s="35">
        <f>VLOOKUP(B8,[1]Summary!$C:$S,8,FALSE)</f>
        <v>0</v>
      </c>
      <c r="J8" s="35">
        <f>VLOOKUP(B8,[1]Summary!$C:$S,9,FALSE)</f>
        <v>0</v>
      </c>
      <c r="K8" s="37">
        <f>VLOOKUP(B8,[1]Summary!$C:$S,10,FALSE)</f>
        <v>0</v>
      </c>
      <c r="L8" s="37">
        <f>VLOOKUP(B8,[1]Summary!$C:$S,11,FALSE)</f>
        <v>0</v>
      </c>
      <c r="M8" s="37">
        <f>VLOOKUP(B8,[1]Summary!$C:$S,12,FALSE)</f>
        <v>0</v>
      </c>
      <c r="N8" s="39">
        <f>VLOOKUP(B8,[1]Summary!$C:$S,13,FALSE)</f>
        <v>0</v>
      </c>
      <c r="O8" s="39">
        <f>VLOOKUP(B8,[1]Summary!$C:$S,14,FALSE)</f>
        <v>0</v>
      </c>
      <c r="P8" s="39">
        <f>VLOOKUP(B8,[1]Summary!$C:$S,15,FALSE)</f>
        <v>0</v>
      </c>
      <c r="Q8" s="8">
        <f t="shared" si="0"/>
        <v>2500</v>
      </c>
      <c r="R8" s="4"/>
      <c r="S8" s="4"/>
      <c r="T8" s="4"/>
      <c r="U8" s="13"/>
      <c r="V8" s="13"/>
      <c r="W8" s="14"/>
      <c r="X8" s="14"/>
      <c r="Y8" s="4"/>
      <c r="Z8" s="4"/>
      <c r="AA8" s="14"/>
      <c r="AB8" s="13"/>
      <c r="AC8" s="13"/>
    </row>
    <row r="9" spans="1:106" x14ac:dyDescent="0.3">
      <c r="A9" s="3">
        <v>4</v>
      </c>
      <c r="B9" s="3" t="s">
        <v>90</v>
      </c>
      <c r="C9" s="3" t="s">
        <v>61</v>
      </c>
      <c r="D9" s="3" t="s">
        <v>52</v>
      </c>
      <c r="E9" s="33">
        <f>VLOOKUP(B9,[1]Summary!$C:$S,4,FALSE)</f>
        <v>7947376.7699999996</v>
      </c>
      <c r="F9" s="33">
        <f>VLOOKUP(B9,[1]Summary!$C:$S,5,FALSE)</f>
        <v>2958251.58</v>
      </c>
      <c r="G9" s="33">
        <f>VLOOKUP(B9,[1]Summary!$C:$S,6,FALSE)</f>
        <v>3579145.35</v>
      </c>
      <c r="H9" s="35">
        <f>VLOOKUP(B9,[1]Summary!$C:$S,7,FALSE)</f>
        <v>3577174.77</v>
      </c>
      <c r="I9" s="35">
        <f>VLOOKUP(B9,[1]Summary!$C:$S,8,FALSE)</f>
        <v>0</v>
      </c>
      <c r="J9" s="35">
        <f>VLOOKUP(B9,[1]Summary!$C:$S,9,FALSE)</f>
        <v>0</v>
      </c>
      <c r="K9" s="37">
        <f>VLOOKUP(B9,[1]Summary!$C:$S,10,FALSE)</f>
        <v>0</v>
      </c>
      <c r="L9" s="37">
        <f>VLOOKUP(B9,[1]Summary!$C:$S,11,FALSE)</f>
        <v>0</v>
      </c>
      <c r="M9" s="37">
        <f>VLOOKUP(B9,[1]Summary!$C:$S,12,FALSE)</f>
        <v>0</v>
      </c>
      <c r="N9" s="39">
        <f>VLOOKUP(B9,[1]Summary!$C:$S,13,FALSE)</f>
        <v>0</v>
      </c>
      <c r="O9" s="39">
        <f>VLOOKUP(B9,[1]Summary!$C:$S,14,FALSE)</f>
        <v>0</v>
      </c>
      <c r="P9" s="39">
        <f>VLOOKUP(B9,[1]Summary!$C:$S,15,FALSE)</f>
        <v>0</v>
      </c>
      <c r="Q9" s="8">
        <f t="shared" si="0"/>
        <v>18061948.469999999</v>
      </c>
      <c r="AA9" s="14"/>
      <c r="AD9" s="2"/>
    </row>
    <row r="10" spans="1:106" ht="28.8" x14ac:dyDescent="0.3">
      <c r="A10" s="3">
        <v>5</v>
      </c>
      <c r="B10" s="5" t="s">
        <v>37</v>
      </c>
      <c r="C10" s="3" t="s">
        <v>58</v>
      </c>
      <c r="D10" s="3" t="s">
        <v>52</v>
      </c>
      <c r="E10" s="33">
        <f>VLOOKUP(B10,[1]Summary!$C:$S,4,FALSE)</f>
        <v>0</v>
      </c>
      <c r="F10" s="33">
        <f>VLOOKUP(B10,[1]Summary!$C:$S,5,FALSE)</f>
        <v>0</v>
      </c>
      <c r="G10" s="33">
        <f>VLOOKUP(B10,[1]Summary!$C:$S,6,FALSE)</f>
        <v>0</v>
      </c>
      <c r="H10" s="35">
        <f>VLOOKUP(B10,[1]Summary!$C:$S,7,FALSE)</f>
        <v>0</v>
      </c>
      <c r="I10" s="35">
        <f>VLOOKUP(B10,[1]Summary!$C:$S,8,FALSE)</f>
        <v>0</v>
      </c>
      <c r="J10" s="35">
        <f>VLOOKUP(B10,[1]Summary!$C:$S,9,FALSE)</f>
        <v>0</v>
      </c>
      <c r="K10" s="37">
        <f>VLOOKUP(B10,[1]Summary!$C:$S,10,FALSE)</f>
        <v>0</v>
      </c>
      <c r="L10" s="37">
        <f>VLOOKUP(B10,[1]Summary!$C:$S,11,FALSE)</f>
        <v>0</v>
      </c>
      <c r="M10" s="37">
        <f>VLOOKUP(B10,[1]Summary!$C:$S,12,FALSE)</f>
        <v>0</v>
      </c>
      <c r="N10" s="39">
        <f>VLOOKUP(B10,[1]Summary!$C:$S,13,FALSE)</f>
        <v>0</v>
      </c>
      <c r="O10" s="39">
        <f>VLOOKUP(B10,[1]Summary!$C:$S,14,FALSE)</f>
        <v>0</v>
      </c>
      <c r="P10" s="39">
        <f>VLOOKUP(B10,[1]Summary!$C:$S,15,FALSE)</f>
        <v>0</v>
      </c>
      <c r="Q10" s="8">
        <f t="shared" si="0"/>
        <v>0</v>
      </c>
      <c r="AA10" s="14"/>
      <c r="AD10" s="2"/>
    </row>
    <row r="11" spans="1:106" x14ac:dyDescent="0.3">
      <c r="A11" s="3">
        <v>6</v>
      </c>
      <c r="B11" s="3" t="s">
        <v>31</v>
      </c>
      <c r="C11" s="3" t="s">
        <v>56</v>
      </c>
      <c r="D11" s="3" t="s">
        <v>52</v>
      </c>
      <c r="E11" s="33">
        <f>VLOOKUP(B11,[1]Summary!$C:$S,4,FALSE)</f>
        <v>0</v>
      </c>
      <c r="F11" s="33">
        <f>VLOOKUP(B11,[1]Summary!$C:$S,5,FALSE)</f>
        <v>6649.34</v>
      </c>
      <c r="G11" s="33">
        <f>VLOOKUP(B11,[1]Summary!$C:$S,6,FALSE)</f>
        <v>0</v>
      </c>
      <c r="H11" s="35">
        <f>VLOOKUP(B11,[1]Summary!$C:$S,7,FALSE)</f>
        <v>23180</v>
      </c>
      <c r="I11" s="35">
        <f>VLOOKUP(B11,[1]Summary!$C:$S,8,FALSE)</f>
        <v>0</v>
      </c>
      <c r="J11" s="35">
        <f>VLOOKUP(B11,[1]Summary!$C:$S,9,FALSE)</f>
        <v>0</v>
      </c>
      <c r="K11" s="37">
        <f>VLOOKUP(B11,[1]Summary!$C:$S,10,FALSE)</f>
        <v>0</v>
      </c>
      <c r="L11" s="37">
        <f>VLOOKUP(B11,[1]Summary!$C:$S,11,FALSE)</f>
        <v>0</v>
      </c>
      <c r="M11" s="37">
        <f>VLOOKUP(B11,[1]Summary!$C:$S,12,FALSE)</f>
        <v>0</v>
      </c>
      <c r="N11" s="39">
        <f>VLOOKUP(B11,[1]Summary!$C:$S,13,FALSE)</f>
        <v>0</v>
      </c>
      <c r="O11" s="39">
        <f>VLOOKUP(B11,[1]Summary!$C:$S,14,FALSE)</f>
        <v>0</v>
      </c>
      <c r="P11" s="39">
        <f>VLOOKUP(B11,[1]Summary!$C:$S,15,FALSE)</f>
        <v>0</v>
      </c>
      <c r="Q11" s="8">
        <f t="shared" si="0"/>
        <v>29829.34</v>
      </c>
      <c r="AA11" s="14"/>
      <c r="AD11" s="2"/>
    </row>
    <row r="12" spans="1:106" x14ac:dyDescent="0.3">
      <c r="A12" s="3">
        <v>7</v>
      </c>
      <c r="B12" s="3" t="s">
        <v>34</v>
      </c>
      <c r="C12" s="3" t="s">
        <v>59</v>
      </c>
      <c r="D12" s="3" t="s">
        <v>52</v>
      </c>
      <c r="E12" s="33">
        <f>VLOOKUP(B12,[1]Summary!$C:$S,4,FALSE)</f>
        <v>441520.93</v>
      </c>
      <c r="F12" s="33">
        <f>VLOOKUP(B12,[1]Summary!$C:$S,5,FALSE)</f>
        <v>328694.62</v>
      </c>
      <c r="G12" s="33">
        <f>VLOOKUP(B12,[1]Summary!$C:$S,6,FALSE)</f>
        <v>397682.82</v>
      </c>
      <c r="H12" s="35">
        <f>VLOOKUP(B12,[1]Summary!$C:$S,7,FALSE)</f>
        <v>317131.63</v>
      </c>
      <c r="I12" s="35">
        <f>VLOOKUP(B12,[1]Summary!$C:$S,8,FALSE)</f>
        <v>0</v>
      </c>
      <c r="J12" s="35">
        <f>VLOOKUP(B12,[1]Summary!$C:$S,9,FALSE)</f>
        <v>0</v>
      </c>
      <c r="K12" s="37">
        <f>VLOOKUP(B12,[1]Summary!$C:$S,10,FALSE)</f>
        <v>0</v>
      </c>
      <c r="L12" s="37">
        <f>VLOOKUP(B12,[1]Summary!$C:$S,11,FALSE)</f>
        <v>0</v>
      </c>
      <c r="M12" s="37">
        <f>VLOOKUP(B12,[1]Summary!$C:$S,12,FALSE)</f>
        <v>0</v>
      </c>
      <c r="N12" s="39">
        <f>VLOOKUP(B12,[1]Summary!$C:$S,13,FALSE)</f>
        <v>0</v>
      </c>
      <c r="O12" s="39">
        <f>VLOOKUP(B12,[1]Summary!$C:$S,14,FALSE)</f>
        <v>0</v>
      </c>
      <c r="P12" s="39">
        <f>VLOOKUP(B12,[1]Summary!$C:$S,15,FALSE)</f>
        <v>0</v>
      </c>
      <c r="Q12" s="8">
        <f t="shared" si="0"/>
        <v>1485030</v>
      </c>
      <c r="AA12" s="14"/>
      <c r="AD12" s="2"/>
    </row>
    <row r="13" spans="1:106" x14ac:dyDescent="0.3">
      <c r="A13" s="3">
        <v>8</v>
      </c>
      <c r="B13" s="3" t="s">
        <v>81</v>
      </c>
      <c r="C13" s="3" t="s">
        <v>60</v>
      </c>
      <c r="D13" s="3" t="s">
        <v>52</v>
      </c>
      <c r="E13" s="33">
        <f>VLOOKUP(B13,[1]Summary!$C:$S,4,FALSE)</f>
        <v>220760.47</v>
      </c>
      <c r="F13" s="33">
        <f>VLOOKUP(B13,[1]Summary!$C:$S,5,FALSE)</f>
        <v>82173.66</v>
      </c>
      <c r="G13" s="33">
        <f>VLOOKUP(B13,[1]Summary!$C:$S,6,FALSE)</f>
        <v>99420.7</v>
      </c>
      <c r="H13" s="35">
        <f>VLOOKUP(B13,[1]Summary!$C:$S,7,FALSE)</f>
        <v>79282.91</v>
      </c>
      <c r="I13" s="35">
        <f>VLOOKUP(B13,[1]Summary!$C:$S,8,FALSE)</f>
        <v>0</v>
      </c>
      <c r="J13" s="35">
        <f>VLOOKUP(B13,[1]Summary!$C:$S,9,FALSE)</f>
        <v>0</v>
      </c>
      <c r="K13" s="37">
        <f>VLOOKUP(B13,[1]Summary!$C:$S,10,FALSE)</f>
        <v>0</v>
      </c>
      <c r="L13" s="37">
        <f>VLOOKUP(B13,[1]Summary!$C:$S,11,FALSE)</f>
        <v>0</v>
      </c>
      <c r="M13" s="37">
        <f>VLOOKUP(B13,[1]Summary!$C:$S,12,FALSE)</f>
        <v>0</v>
      </c>
      <c r="N13" s="39">
        <f>VLOOKUP(B13,[1]Summary!$C:$S,13,FALSE)</f>
        <v>0</v>
      </c>
      <c r="O13" s="39">
        <f>VLOOKUP(B13,[1]Summary!$C:$S,14,FALSE)</f>
        <v>0</v>
      </c>
      <c r="P13" s="39">
        <f>VLOOKUP(B13,[1]Summary!$C:$S,15,FALSE)</f>
        <v>0</v>
      </c>
      <c r="Q13" s="8">
        <f t="shared" si="0"/>
        <v>481637.74</v>
      </c>
      <c r="AA13" s="14"/>
      <c r="AD13" s="2"/>
    </row>
    <row r="14" spans="1:106" x14ac:dyDescent="0.3">
      <c r="A14" s="3">
        <v>9</v>
      </c>
      <c r="B14" s="3" t="s">
        <v>85</v>
      </c>
      <c r="C14" s="3" t="s">
        <v>55</v>
      </c>
      <c r="D14" s="3" t="s">
        <v>52</v>
      </c>
      <c r="E14" s="33">
        <f>VLOOKUP(B14,[1]Summary!$C:$S,4,FALSE)</f>
        <v>0</v>
      </c>
      <c r="F14" s="33">
        <f>VLOOKUP(B14,[1]Summary!$C:$S,5,FALSE)</f>
        <v>0</v>
      </c>
      <c r="G14" s="33">
        <f>VLOOKUP(B14,[1]Summary!$C:$S,6,FALSE)</f>
        <v>28156898</v>
      </c>
      <c r="H14" s="35">
        <f>VLOOKUP(B14,[1]Summary!$C:$S,7,FALSE)</f>
        <v>0</v>
      </c>
      <c r="I14" s="35">
        <f>VLOOKUP(B14,[1]Summary!$C:$S,8,FALSE)</f>
        <v>0</v>
      </c>
      <c r="J14" s="35">
        <f>VLOOKUP(B14,[1]Summary!$C:$S,9,FALSE)</f>
        <v>0</v>
      </c>
      <c r="K14" s="37">
        <f>VLOOKUP(B14,[1]Summary!$C:$S,10,FALSE)</f>
        <v>0</v>
      </c>
      <c r="L14" s="37">
        <f>VLOOKUP(B14,[1]Summary!$C:$S,11,FALSE)</f>
        <v>0</v>
      </c>
      <c r="M14" s="37">
        <f>VLOOKUP(B14,[1]Summary!$C:$S,12,FALSE)</f>
        <v>0</v>
      </c>
      <c r="N14" s="39">
        <f>VLOOKUP(B14,[1]Summary!$C:$S,13,FALSE)</f>
        <v>0</v>
      </c>
      <c r="O14" s="39">
        <f>VLOOKUP(B14,[1]Summary!$C:$S,14,FALSE)</f>
        <v>0</v>
      </c>
      <c r="P14" s="39">
        <f>VLOOKUP(B14,[1]Summary!$C:$S,15,FALSE)</f>
        <v>0</v>
      </c>
      <c r="Q14" s="8">
        <f t="shared" si="0"/>
        <v>28156898</v>
      </c>
      <c r="AA14" s="14"/>
      <c r="AD14" s="2"/>
    </row>
    <row r="15" spans="1:106" s="28" customFormat="1" x14ac:dyDescent="0.3">
      <c r="A15" s="25">
        <v>10</v>
      </c>
      <c r="B15" s="25" t="s">
        <v>38</v>
      </c>
      <c r="C15" s="25" t="s">
        <v>54</v>
      </c>
      <c r="D15" s="25" t="s">
        <v>52</v>
      </c>
      <c r="E15" s="26">
        <f>VLOOKUP(B15,[1]Summary!$C:$S,4,FALSE)</f>
        <v>0</v>
      </c>
      <c r="F15" s="26">
        <f>VLOOKUP(B15,[1]Summary!$C:$S,5,FALSE)</f>
        <v>0</v>
      </c>
      <c r="G15" s="26">
        <f>VLOOKUP(B15,[1]Summary!$C:$S,6,FALSE)/2</f>
        <v>620511.84</v>
      </c>
      <c r="H15" s="26">
        <f>VLOOKUP(B15,[1]Summary!$C:$S,7,FALSE)</f>
        <v>0</v>
      </c>
      <c r="I15" s="26">
        <f>VLOOKUP(B15,[1]Summary!$C:$S,8,FALSE)</f>
        <v>0</v>
      </c>
      <c r="J15" s="26">
        <f>VLOOKUP(B15,[1]Summary!$C:$S,9,FALSE)</f>
        <v>0</v>
      </c>
      <c r="K15" s="26">
        <f>VLOOKUP(B15,[1]Summary!$C:$S,10,FALSE)</f>
        <v>0</v>
      </c>
      <c r="L15" s="26">
        <f>VLOOKUP(B15,[1]Summary!$C:$S,11,FALSE)</f>
        <v>0</v>
      </c>
      <c r="M15" s="26">
        <f>VLOOKUP(B15,[1]Summary!$C:$S,12,FALSE)</f>
        <v>0</v>
      </c>
      <c r="N15" s="26">
        <f>VLOOKUP(B15,[1]Summary!$C:$S,13,FALSE)</f>
        <v>0</v>
      </c>
      <c r="O15" s="26">
        <f>VLOOKUP(B15,[1]Summary!$C:$S,14,FALSE)</f>
        <v>0</v>
      </c>
      <c r="P15" s="26">
        <f>VLOOKUP(B15,[1]Summary!$C:$S,15,FALSE)</f>
        <v>0</v>
      </c>
      <c r="Q15" s="27">
        <f t="shared" si="0"/>
        <v>620511.84</v>
      </c>
      <c r="R15" s="43"/>
      <c r="S15" s="43"/>
      <c r="T15" s="43"/>
      <c r="U15" s="44"/>
      <c r="V15" s="44"/>
      <c r="W15" s="44"/>
      <c r="X15" s="45"/>
      <c r="Y15" s="43"/>
      <c r="Z15" s="43"/>
      <c r="AA15" s="45"/>
      <c r="AB15" s="44"/>
      <c r="AC15" s="44"/>
      <c r="AD15" s="46"/>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row>
    <row r="16" spans="1:106" s="28" customFormat="1" x14ac:dyDescent="0.3">
      <c r="A16" s="25">
        <v>11</v>
      </c>
      <c r="B16" s="25" t="s">
        <v>38</v>
      </c>
      <c r="C16" s="25" t="s">
        <v>55</v>
      </c>
      <c r="D16" s="25" t="s">
        <v>52</v>
      </c>
      <c r="E16" s="26">
        <f>VLOOKUP(B16,[1]Summary!$C:$S,4,FALSE)</f>
        <v>0</v>
      </c>
      <c r="F16" s="26">
        <f>VLOOKUP(B16,[1]Summary!$C:$S,5,FALSE)</f>
        <v>0</v>
      </c>
      <c r="G16" s="26">
        <f>VLOOKUP(B16,[1]Summary!$C:$S,6,FALSE)/2</f>
        <v>620511.84</v>
      </c>
      <c r="H16" s="26">
        <f>VLOOKUP(B16,[1]Summary!$C:$S,7,FALSE)</f>
        <v>0</v>
      </c>
      <c r="I16" s="26">
        <f>VLOOKUP(B16,[1]Summary!$C:$S,8,FALSE)</f>
        <v>0</v>
      </c>
      <c r="J16" s="26">
        <f>VLOOKUP(B16,[1]Summary!$C:$S,9,FALSE)</f>
        <v>0</v>
      </c>
      <c r="K16" s="26">
        <f>VLOOKUP(B16,[1]Summary!$C:$S,10,FALSE)</f>
        <v>0</v>
      </c>
      <c r="L16" s="26">
        <f>VLOOKUP(B16,[1]Summary!$C:$S,11,FALSE)</f>
        <v>0</v>
      </c>
      <c r="M16" s="26">
        <f>VLOOKUP(B16,[1]Summary!$C:$S,12,FALSE)</f>
        <v>0</v>
      </c>
      <c r="N16" s="26">
        <f>VLOOKUP(B16,[1]Summary!$C:$S,13,FALSE)</f>
        <v>0</v>
      </c>
      <c r="O16" s="26">
        <f>VLOOKUP(B16,[1]Summary!$C:$S,14,FALSE)</f>
        <v>0</v>
      </c>
      <c r="P16" s="26">
        <f>VLOOKUP(B16,[1]Summary!$C:$S,15,FALSE)</f>
        <v>0</v>
      </c>
      <c r="Q16" s="27">
        <f t="shared" si="0"/>
        <v>620511.84</v>
      </c>
      <c r="R16" s="43"/>
      <c r="S16" s="43"/>
      <c r="T16" s="43"/>
      <c r="U16" s="44"/>
      <c r="V16" s="44"/>
      <c r="W16" s="44"/>
      <c r="X16" s="45"/>
      <c r="Y16" s="43"/>
      <c r="Z16" s="43"/>
      <c r="AA16" s="45"/>
      <c r="AB16" s="44"/>
      <c r="AC16" s="44"/>
      <c r="AD16" s="46"/>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row>
    <row r="17" spans="1:30" x14ac:dyDescent="0.3">
      <c r="A17" s="3">
        <v>12</v>
      </c>
      <c r="B17" s="3" t="s">
        <v>86</v>
      </c>
      <c r="C17" s="3" t="s">
        <v>53</v>
      </c>
      <c r="D17" s="3" t="s">
        <v>52</v>
      </c>
      <c r="E17" s="33">
        <f>VLOOKUP(B17,[1]Summary!$C:$S,4,FALSE)</f>
        <v>7985540.1100000003</v>
      </c>
      <c r="F17" s="33">
        <f>VLOOKUP(B17,[1]Summary!$C:$S,5,FALSE)</f>
        <v>0</v>
      </c>
      <c r="G17" s="33">
        <f>VLOOKUP(B17,[1]Summary!$C:$S,6,FALSE)</f>
        <v>0</v>
      </c>
      <c r="H17" s="35">
        <f>VLOOKUP(B17,[1]Summary!$C:$S,7,FALSE)</f>
        <v>15519581.369999999</v>
      </c>
      <c r="I17" s="35">
        <f>VLOOKUP(B17,[1]Summary!$C:$S,8,FALSE)</f>
        <v>0</v>
      </c>
      <c r="J17" s="35">
        <f>VLOOKUP(B17,[1]Summary!$C:$S,9,FALSE)</f>
        <v>0</v>
      </c>
      <c r="K17" s="37">
        <f>VLOOKUP(B17,[1]Summary!$C:$S,10,FALSE)</f>
        <v>0</v>
      </c>
      <c r="L17" s="37">
        <f>VLOOKUP(B17,[1]Summary!$C:$S,11,FALSE)</f>
        <v>0</v>
      </c>
      <c r="M17" s="37">
        <f>VLOOKUP(B17,[1]Summary!$C:$S,12,FALSE)</f>
        <v>0</v>
      </c>
      <c r="N17" s="39">
        <f>VLOOKUP(B17,[1]Summary!$C:$S,13,FALSE)</f>
        <v>0</v>
      </c>
      <c r="O17" s="39">
        <f>VLOOKUP(B17,[1]Summary!$C:$S,14,FALSE)</f>
        <v>0</v>
      </c>
      <c r="P17" s="39">
        <f>VLOOKUP(B17,[1]Summary!$C:$S,15,FALSE)</f>
        <v>0</v>
      </c>
      <c r="Q17" s="8">
        <f t="shared" si="0"/>
        <v>23505121.48</v>
      </c>
      <c r="AA17" s="14"/>
      <c r="AD17" s="2"/>
    </row>
    <row r="18" spans="1:30" x14ac:dyDescent="0.3">
      <c r="A18" s="3">
        <v>13</v>
      </c>
      <c r="B18" s="3" t="s">
        <v>48</v>
      </c>
      <c r="C18" s="3" t="s">
        <v>56</v>
      </c>
      <c r="D18" s="3" t="s">
        <v>52</v>
      </c>
      <c r="E18" s="33">
        <f>VLOOKUP(B18,[1]Summary!$C:$S,4,FALSE)</f>
        <v>0</v>
      </c>
      <c r="F18" s="33">
        <f>VLOOKUP(B18,[1]Summary!$C:$S,5,FALSE)</f>
        <v>0</v>
      </c>
      <c r="G18" s="33">
        <f>VLOOKUP(B18,[1]Summary!$C:$S,6,FALSE)</f>
        <v>0</v>
      </c>
      <c r="H18" s="35">
        <f>VLOOKUP(B18,[1]Summary!$C:$S,7,FALSE)</f>
        <v>0</v>
      </c>
      <c r="I18" s="35">
        <f>VLOOKUP(B18,[1]Summary!$C:$S,8,FALSE)</f>
        <v>0</v>
      </c>
      <c r="J18" s="35">
        <f>VLOOKUP(B18,[1]Summary!$C:$S,9,FALSE)</f>
        <v>0</v>
      </c>
      <c r="K18" s="37">
        <f>VLOOKUP(B18,[1]Summary!$C:$S,10,FALSE)</f>
        <v>0</v>
      </c>
      <c r="L18" s="37">
        <f>VLOOKUP(B18,[1]Summary!$C:$S,11,FALSE)</f>
        <v>0</v>
      </c>
      <c r="M18" s="37">
        <f>VLOOKUP(B18,[1]Summary!$C:$S,12,FALSE)</f>
        <v>0</v>
      </c>
      <c r="N18" s="39">
        <f>VLOOKUP(B18,[1]Summary!$C:$S,13,FALSE)</f>
        <v>0</v>
      </c>
      <c r="O18" s="39">
        <f>VLOOKUP(B18,[1]Summary!$C:$S,14,FALSE)</f>
        <v>0</v>
      </c>
      <c r="P18" s="39">
        <f>VLOOKUP(B18,[1]Summary!$C:$S,15,FALSE)</f>
        <v>0</v>
      </c>
      <c r="Q18" s="8">
        <f t="shared" si="0"/>
        <v>0</v>
      </c>
      <c r="AA18" s="14"/>
      <c r="AD18" s="2"/>
    </row>
    <row r="19" spans="1:30" x14ac:dyDescent="0.3">
      <c r="A19" s="3">
        <v>14</v>
      </c>
      <c r="B19" s="3" t="s">
        <v>44</v>
      </c>
      <c r="C19" s="4" t="s">
        <v>53</v>
      </c>
      <c r="D19" s="3" t="s">
        <v>52</v>
      </c>
      <c r="E19" s="33">
        <f>VLOOKUP(B19,[1]Summary!$C:$S,4,FALSE)</f>
        <v>0</v>
      </c>
      <c r="F19" s="33">
        <f>VLOOKUP(B19,[1]Summary!$C:$S,5,FALSE)</f>
        <v>0</v>
      </c>
      <c r="G19" s="33">
        <f>VLOOKUP(B19,[1]Summary!$C:$S,6,FALSE)</f>
        <v>0</v>
      </c>
      <c r="H19" s="35">
        <f>VLOOKUP(B19,[1]Summary!$C:$S,7,FALSE)</f>
        <v>0</v>
      </c>
      <c r="I19" s="35">
        <f>VLOOKUP(B19,[1]Summary!$C:$S,8,FALSE)</f>
        <v>0</v>
      </c>
      <c r="J19" s="35">
        <f>VLOOKUP(B19,[1]Summary!$C:$S,9,FALSE)</f>
        <v>0</v>
      </c>
      <c r="K19" s="37">
        <f>VLOOKUP(B19,[1]Summary!$C:$S,10,FALSE)</f>
        <v>0</v>
      </c>
      <c r="L19" s="37">
        <f>VLOOKUP(B19,[1]Summary!$C:$S,11,FALSE)</f>
        <v>0</v>
      </c>
      <c r="M19" s="37">
        <f>VLOOKUP(B19,[1]Summary!$C:$S,12,FALSE)</f>
        <v>0</v>
      </c>
      <c r="N19" s="39">
        <f>VLOOKUP(B19,[1]Summary!$C:$S,13,FALSE)</f>
        <v>0</v>
      </c>
      <c r="O19" s="39">
        <f>VLOOKUP(B19,[1]Summary!$C:$S,14,FALSE)</f>
        <v>0</v>
      </c>
      <c r="P19" s="39">
        <f>VLOOKUP(B19,[1]Summary!$C:$S,15,FALSE)</f>
        <v>0</v>
      </c>
      <c r="Q19" s="8">
        <f t="shared" si="0"/>
        <v>0</v>
      </c>
      <c r="AA19" s="14"/>
      <c r="AD19" s="2"/>
    </row>
    <row r="20" spans="1:30" x14ac:dyDescent="0.3">
      <c r="A20" s="3">
        <v>15</v>
      </c>
      <c r="B20" s="3" t="s">
        <v>33</v>
      </c>
      <c r="C20" s="3" t="s">
        <v>53</v>
      </c>
      <c r="D20" s="3" t="s">
        <v>52</v>
      </c>
      <c r="E20" s="33">
        <f>VLOOKUP(B20,[1]Summary!$C:$S,4,FALSE)</f>
        <v>435604.59</v>
      </c>
      <c r="F20" s="33">
        <f>VLOOKUP(B20,[1]Summary!$C:$S,5,FALSE)</f>
        <v>329630.36</v>
      </c>
      <c r="G20" s="33">
        <f>VLOOKUP(B20,[1]Summary!$C:$S,6,FALSE)</f>
        <v>24738.880000000001</v>
      </c>
      <c r="H20" s="35">
        <f>VLOOKUP(B20,[1]Summary!$C:$S,7,FALSE)</f>
        <v>40155.550000000003</v>
      </c>
      <c r="I20" s="35">
        <f>VLOOKUP(B20,[1]Summary!$C:$S,8,FALSE)</f>
        <v>0</v>
      </c>
      <c r="J20" s="35">
        <f>VLOOKUP(B20,[1]Summary!$C:$S,9,FALSE)</f>
        <v>0</v>
      </c>
      <c r="K20" s="37">
        <f>VLOOKUP(B20,[1]Summary!$C:$S,10,FALSE)</f>
        <v>0</v>
      </c>
      <c r="L20" s="37">
        <f>VLOOKUP(B20,[1]Summary!$C:$S,11,FALSE)</f>
        <v>0</v>
      </c>
      <c r="M20" s="37">
        <f>VLOOKUP(B20,[1]Summary!$C:$S,12,FALSE)</f>
        <v>0</v>
      </c>
      <c r="N20" s="39">
        <f>VLOOKUP(B20,[1]Summary!$C:$S,13,FALSE)</f>
        <v>0</v>
      </c>
      <c r="O20" s="39">
        <f>VLOOKUP(B20,[1]Summary!$C:$S,14,FALSE)</f>
        <v>0</v>
      </c>
      <c r="P20" s="39">
        <f>VLOOKUP(B20,[1]Summary!$C:$S,15,FALSE)</f>
        <v>0</v>
      </c>
      <c r="Q20" s="8">
        <f t="shared" si="0"/>
        <v>830129.38</v>
      </c>
      <c r="AA20" s="14"/>
      <c r="AD20" s="2"/>
    </row>
    <row r="21" spans="1:30" x14ac:dyDescent="0.3">
      <c r="A21" s="3">
        <v>16</v>
      </c>
      <c r="B21" s="3" t="s">
        <v>80</v>
      </c>
      <c r="C21" s="3" t="s">
        <v>56</v>
      </c>
      <c r="D21" s="3" t="s">
        <v>52</v>
      </c>
      <c r="E21" s="33">
        <f>VLOOKUP(B21,[1]Summary!$C:$S,4,FALSE)</f>
        <v>141533.5</v>
      </c>
      <c r="F21" s="33">
        <f>VLOOKUP(B21,[1]Summary!$C:$S,5,FALSE)</f>
        <v>0</v>
      </c>
      <c r="G21" s="33">
        <f>VLOOKUP(B21,[1]Summary!$C:$S,6,FALSE)</f>
        <v>0</v>
      </c>
      <c r="H21" s="35">
        <f>VLOOKUP(B21,[1]Summary!$C:$S,7,FALSE)</f>
        <v>0</v>
      </c>
      <c r="I21" s="35">
        <f>VLOOKUP(B21,[1]Summary!$C:$S,8,FALSE)</f>
        <v>0</v>
      </c>
      <c r="J21" s="35">
        <f>VLOOKUP(B21,[1]Summary!$C:$S,9,FALSE)</f>
        <v>0</v>
      </c>
      <c r="K21" s="37">
        <f>VLOOKUP(B21,[1]Summary!$C:$S,10,FALSE)</f>
        <v>0</v>
      </c>
      <c r="L21" s="37">
        <f>VLOOKUP(B21,[1]Summary!$C:$S,11,FALSE)</f>
        <v>0</v>
      </c>
      <c r="M21" s="37">
        <f>VLOOKUP(B21,[1]Summary!$C:$S,12,FALSE)</f>
        <v>0</v>
      </c>
      <c r="N21" s="39">
        <f>VLOOKUP(B21,[1]Summary!$C:$S,13,FALSE)</f>
        <v>0</v>
      </c>
      <c r="O21" s="39">
        <f>VLOOKUP(B21,[1]Summary!$C:$S,14,FALSE)</f>
        <v>0</v>
      </c>
      <c r="P21" s="39">
        <f>VLOOKUP(B21,[1]Summary!$C:$S,15,FALSE)</f>
        <v>0</v>
      </c>
      <c r="Q21" s="8">
        <f t="shared" si="0"/>
        <v>141533.5</v>
      </c>
      <c r="AA21" s="14"/>
      <c r="AD21" s="2"/>
    </row>
    <row r="22" spans="1:30" x14ac:dyDescent="0.3">
      <c r="A22" s="3">
        <v>17</v>
      </c>
      <c r="B22" s="3" t="s">
        <v>92</v>
      </c>
      <c r="C22" s="3" t="s">
        <v>53</v>
      </c>
      <c r="D22" s="3" t="s">
        <v>52</v>
      </c>
      <c r="E22" s="33">
        <f>VLOOKUP(B22,[1]Summary!$C:$S,4,FALSE)</f>
        <v>13804170.74187474</v>
      </c>
      <c r="F22" s="33">
        <f>VLOOKUP(B22,[1]Summary!$C:$S,5,FALSE)</f>
        <v>3801622.92</v>
      </c>
      <c r="G22" s="33">
        <f>VLOOKUP(B22,[1]Summary!$C:$S,6,FALSE)</f>
        <v>4684463.8583557811</v>
      </c>
      <c r="H22" s="35">
        <f>VLOOKUP(B22,[1]Summary!$C:$S,7,FALSE)</f>
        <v>2808675.0101311598</v>
      </c>
      <c r="I22" s="35">
        <f>VLOOKUP(B22,[1]Summary!$C:$S,8,FALSE)</f>
        <v>0</v>
      </c>
      <c r="J22" s="35">
        <f>VLOOKUP(B22,[1]Summary!$C:$S,9,FALSE)</f>
        <v>0</v>
      </c>
      <c r="K22" s="37">
        <f>VLOOKUP(B22,[1]Summary!$C:$S,10,FALSE)</f>
        <v>0</v>
      </c>
      <c r="L22" s="37">
        <f>VLOOKUP(B22,[1]Summary!$C:$S,11,FALSE)</f>
        <v>0</v>
      </c>
      <c r="M22" s="37">
        <f>VLOOKUP(B22,[1]Summary!$C:$S,12,FALSE)</f>
        <v>0</v>
      </c>
      <c r="N22" s="39">
        <f>VLOOKUP(B22,[1]Summary!$C:$S,13,FALSE)</f>
        <v>0</v>
      </c>
      <c r="O22" s="39">
        <f>VLOOKUP(B22,[1]Summary!$C:$S,14,FALSE)</f>
        <v>0</v>
      </c>
      <c r="P22" s="39">
        <f>VLOOKUP(B22,[1]Summary!$C:$S,15,FALSE)</f>
        <v>0</v>
      </c>
      <c r="Q22" s="8">
        <f>SUM(E22:P22)</f>
        <v>25098932.530361682</v>
      </c>
      <c r="AA22" s="14"/>
      <c r="AD22" s="2"/>
    </row>
    <row r="23" spans="1:30" x14ac:dyDescent="0.3">
      <c r="A23" s="3">
        <v>18</v>
      </c>
      <c r="B23" s="3" t="s">
        <v>91</v>
      </c>
      <c r="C23" s="3" t="s">
        <v>53</v>
      </c>
      <c r="D23" s="3" t="s">
        <v>52</v>
      </c>
      <c r="E23" s="33">
        <f>VLOOKUP(B23,[1]Summary!$C:$S,4,FALSE)</f>
        <v>2205748.9181252602</v>
      </c>
      <c r="F23" s="33">
        <f>VLOOKUP(B23,[1]Summary!$C:$S,5,FALSE)</f>
        <v>997473.19</v>
      </c>
      <c r="G23" s="33">
        <f>VLOOKUP(B23,[1]Summary!$C:$S,6,FALSE)</f>
        <v>1411999.32164422</v>
      </c>
      <c r="H23" s="35">
        <f>VLOOKUP(B23,[1]Summary!$C:$S,7,FALSE)</f>
        <v>1003304.49986884</v>
      </c>
      <c r="I23" s="35">
        <f>VLOOKUP(B23,[1]Summary!$C:$S,8,FALSE)</f>
        <v>0</v>
      </c>
      <c r="J23" s="35">
        <f>VLOOKUP(B23,[1]Summary!$C:$S,9,FALSE)</f>
        <v>0</v>
      </c>
      <c r="K23" s="37">
        <f>VLOOKUP(B23,[1]Summary!$C:$S,10,FALSE)</f>
        <v>0</v>
      </c>
      <c r="L23" s="37">
        <f>VLOOKUP(B23,[1]Summary!$C:$S,11,FALSE)</f>
        <v>0</v>
      </c>
      <c r="M23" s="37">
        <f>VLOOKUP(B23,[1]Summary!$C:$S,12,FALSE)</f>
        <v>0</v>
      </c>
      <c r="N23" s="39">
        <f>VLOOKUP(B23,[1]Summary!$C:$S,13,FALSE)</f>
        <v>0</v>
      </c>
      <c r="O23" s="39">
        <f>VLOOKUP(B23,[1]Summary!$C:$S,14,FALSE)</f>
        <v>0</v>
      </c>
      <c r="P23" s="39">
        <f>VLOOKUP(B23,[1]Summary!$C:$S,15,FALSE)</f>
        <v>0</v>
      </c>
      <c r="Q23" s="8">
        <f t="shared" si="0"/>
        <v>5618525.9296383206</v>
      </c>
      <c r="AA23" s="14"/>
      <c r="AD23" s="2"/>
    </row>
    <row r="24" spans="1:30" x14ac:dyDescent="0.3">
      <c r="A24" s="3">
        <v>19</v>
      </c>
      <c r="B24" s="3" t="s">
        <v>36</v>
      </c>
      <c r="C24" s="3" t="s">
        <v>56</v>
      </c>
      <c r="D24" s="3" t="s">
        <v>52</v>
      </c>
      <c r="E24" s="33">
        <f>VLOOKUP(B24,[1]Summary!$C:$S,4,FALSE)</f>
        <v>0</v>
      </c>
      <c r="F24" s="33">
        <f>VLOOKUP(B24,[1]Summary!$C:$S,5,FALSE)</f>
        <v>0</v>
      </c>
      <c r="G24" s="33">
        <f>VLOOKUP(B24,[1]Summary!$C:$S,6,FALSE)</f>
        <v>0</v>
      </c>
      <c r="H24" s="35">
        <f>VLOOKUP(B24,[1]Summary!$C:$S,7,FALSE)</f>
        <v>0</v>
      </c>
      <c r="I24" s="35">
        <f>VLOOKUP(B24,[1]Summary!$C:$S,8,FALSE)</f>
        <v>0</v>
      </c>
      <c r="J24" s="35">
        <f>VLOOKUP(B24,[1]Summary!$C:$S,9,FALSE)</f>
        <v>0</v>
      </c>
      <c r="K24" s="37">
        <f>VLOOKUP(B24,[1]Summary!$C:$S,10,FALSE)</f>
        <v>0</v>
      </c>
      <c r="L24" s="37">
        <f>VLOOKUP(B24,[1]Summary!$C:$S,11,FALSE)</f>
        <v>0</v>
      </c>
      <c r="M24" s="37">
        <f>VLOOKUP(B24,[1]Summary!$C:$S,12,FALSE)</f>
        <v>0</v>
      </c>
      <c r="N24" s="39">
        <f>VLOOKUP(B24,[1]Summary!$C:$S,13,FALSE)</f>
        <v>0</v>
      </c>
      <c r="O24" s="39">
        <f>VLOOKUP(B24,[1]Summary!$C:$S,14,FALSE)</f>
        <v>0</v>
      </c>
      <c r="P24" s="39">
        <f>VLOOKUP(B24,[1]Summary!$C:$S,15,FALSE)</f>
        <v>0</v>
      </c>
      <c r="Q24" s="8">
        <f t="shared" si="0"/>
        <v>0</v>
      </c>
      <c r="AA24" s="14"/>
      <c r="AD24" s="2"/>
    </row>
    <row r="25" spans="1:30" x14ac:dyDescent="0.3">
      <c r="A25" s="3">
        <v>20</v>
      </c>
      <c r="B25" s="3" t="s">
        <v>50</v>
      </c>
      <c r="C25" s="3" t="s">
        <v>55</v>
      </c>
      <c r="D25" s="3" t="s">
        <v>52</v>
      </c>
      <c r="E25" s="33">
        <f>VLOOKUP(B25,[1]Summary!$C:$S,4,FALSE)</f>
        <v>0</v>
      </c>
      <c r="F25" s="33">
        <f>VLOOKUP(B25,[1]Summary!$C:$S,5,FALSE)</f>
        <v>0</v>
      </c>
      <c r="G25" s="33">
        <f>VLOOKUP(B25,[1]Summary!$C:$S,6,FALSE)</f>
        <v>0</v>
      </c>
      <c r="H25" s="35">
        <f>VLOOKUP(B25,[1]Summary!$C:$S,7,FALSE)</f>
        <v>0</v>
      </c>
      <c r="I25" s="35">
        <f>VLOOKUP(B25,[1]Summary!$C:$S,8,FALSE)</f>
        <v>0</v>
      </c>
      <c r="J25" s="35">
        <f>VLOOKUP(B25,[1]Summary!$C:$S,9,FALSE)</f>
        <v>0</v>
      </c>
      <c r="K25" s="37">
        <f>VLOOKUP(B25,[1]Summary!$C:$S,10,FALSE)</f>
        <v>0</v>
      </c>
      <c r="L25" s="37">
        <f>VLOOKUP(B25,[1]Summary!$C:$S,11,FALSE)</f>
        <v>0</v>
      </c>
      <c r="M25" s="37">
        <f>VLOOKUP(B25,[1]Summary!$C:$S,12,FALSE)</f>
        <v>0</v>
      </c>
      <c r="N25" s="39">
        <f>VLOOKUP(B25,[1]Summary!$C:$S,13,FALSE)</f>
        <v>0</v>
      </c>
      <c r="O25" s="39">
        <f>VLOOKUP(B25,[1]Summary!$C:$S,14,FALSE)</f>
        <v>0</v>
      </c>
      <c r="P25" s="39">
        <f>VLOOKUP(B25,[1]Summary!$C:$S,15,FALSE)</f>
        <v>0</v>
      </c>
      <c r="Q25" s="8">
        <f t="shared" si="0"/>
        <v>0</v>
      </c>
      <c r="AA25" s="14"/>
      <c r="AD25" s="2"/>
    </row>
    <row r="26" spans="1:30" x14ac:dyDescent="0.3">
      <c r="A26" s="3">
        <v>21</v>
      </c>
      <c r="B26" s="3" t="s">
        <v>64</v>
      </c>
      <c r="C26" s="3" t="s">
        <v>55</v>
      </c>
      <c r="D26" s="3" t="s">
        <v>52</v>
      </c>
      <c r="E26" s="33">
        <f>VLOOKUP(B26,[1]Summary!$C:$S,4,FALSE)</f>
        <v>1870777.1099999999</v>
      </c>
      <c r="F26" s="33">
        <f>VLOOKUP(B26,[1]Summary!$C:$S,5,FALSE)</f>
        <v>1477540.1600000001</v>
      </c>
      <c r="G26" s="33">
        <f>VLOOKUP(B26,[1]Summary!$C:$S,6,FALSE)</f>
        <v>4470560.4800000004</v>
      </c>
      <c r="H26" s="35">
        <f>VLOOKUP(B26,[1]Summary!$C:$S,7,FALSE)</f>
        <v>3849188.9</v>
      </c>
      <c r="I26" s="35">
        <f>VLOOKUP(B26,[1]Summary!$C:$S,8,FALSE)</f>
        <v>0</v>
      </c>
      <c r="J26" s="35">
        <f>VLOOKUP(B26,[1]Summary!$C:$S,9,FALSE)</f>
        <v>0</v>
      </c>
      <c r="K26" s="37">
        <f>VLOOKUP(B26,[1]Summary!$C:$S,10,FALSE)</f>
        <v>0</v>
      </c>
      <c r="L26" s="37">
        <f>VLOOKUP(B26,[1]Summary!$C:$S,11,FALSE)</f>
        <v>0</v>
      </c>
      <c r="M26" s="37">
        <f>VLOOKUP(B26,[1]Summary!$C:$S,12,FALSE)</f>
        <v>0</v>
      </c>
      <c r="N26" s="39">
        <f>VLOOKUP(B26,[1]Summary!$C:$S,13,FALSE)</f>
        <v>0</v>
      </c>
      <c r="O26" s="39">
        <f>VLOOKUP(B26,[1]Summary!$C:$S,14,FALSE)</f>
        <v>0</v>
      </c>
      <c r="P26" s="39">
        <f>VLOOKUP(B26,[1]Summary!$C:$S,15,FALSE)</f>
        <v>0</v>
      </c>
      <c r="Q26" s="8">
        <f t="shared" si="0"/>
        <v>11668066.65</v>
      </c>
      <c r="AA26" s="14"/>
      <c r="AD26" s="2"/>
    </row>
    <row r="27" spans="1:30" x14ac:dyDescent="0.3">
      <c r="A27" s="3">
        <v>22</v>
      </c>
      <c r="B27" s="3" t="s">
        <v>66</v>
      </c>
      <c r="C27" s="3" t="s">
        <v>56</v>
      </c>
      <c r="D27" s="3" t="s">
        <v>52</v>
      </c>
      <c r="E27" s="33">
        <f>VLOOKUP(B27,[1]Summary!$C:$S,4,FALSE)</f>
        <v>2134424.7199999997</v>
      </c>
      <c r="F27" s="33">
        <f>VLOOKUP(B27,[1]Summary!$C:$S,5,FALSE)</f>
        <v>438099.44999999995</v>
      </c>
      <c r="G27" s="33">
        <f>VLOOKUP(B27,[1]Summary!$C:$S,6,FALSE)</f>
        <v>2360437.4300000002</v>
      </c>
      <c r="H27" s="35">
        <f>VLOOKUP(B27,[1]Summary!$C:$S,7,FALSE)</f>
        <v>2958682.79</v>
      </c>
      <c r="I27" s="35">
        <f>VLOOKUP(B27,[1]Summary!$C:$S,8,FALSE)</f>
        <v>0</v>
      </c>
      <c r="J27" s="35">
        <f>VLOOKUP(B27,[1]Summary!$C:$S,9,FALSE)</f>
        <v>0</v>
      </c>
      <c r="K27" s="37">
        <f>VLOOKUP(B27,[1]Summary!$C:$S,10,FALSE)</f>
        <v>0</v>
      </c>
      <c r="L27" s="37">
        <f>VLOOKUP(B27,[1]Summary!$C:$S,11,FALSE)</f>
        <v>0</v>
      </c>
      <c r="M27" s="37">
        <f>VLOOKUP(B27,[1]Summary!$C:$S,12,FALSE)</f>
        <v>0</v>
      </c>
      <c r="N27" s="39">
        <f>VLOOKUP(B27,[1]Summary!$C:$S,13,FALSE)</f>
        <v>0</v>
      </c>
      <c r="O27" s="39">
        <f>VLOOKUP(B27,[1]Summary!$C:$S,14,FALSE)</f>
        <v>0</v>
      </c>
      <c r="P27" s="39">
        <f>VLOOKUP(B27,[1]Summary!$C:$S,15,FALSE)</f>
        <v>0</v>
      </c>
      <c r="Q27" s="8">
        <f t="shared" si="0"/>
        <v>7891644.3899999997</v>
      </c>
      <c r="AA27" s="14"/>
      <c r="AD27" s="2"/>
    </row>
    <row r="28" spans="1:30" x14ac:dyDescent="0.3">
      <c r="A28" s="3">
        <v>23</v>
      </c>
      <c r="B28" s="3" t="s">
        <v>70</v>
      </c>
      <c r="C28" s="3" t="s">
        <v>74</v>
      </c>
      <c r="D28" s="3" t="s">
        <v>52</v>
      </c>
      <c r="E28" s="33">
        <f>VLOOKUP(B28,[1]Summary!$C:$S,4,FALSE)</f>
        <v>1067472.28</v>
      </c>
      <c r="F28" s="33">
        <f>VLOOKUP(B28,[1]Summary!$C:$S,5,FALSE)</f>
        <v>1325596.6599999999</v>
      </c>
      <c r="G28" s="33">
        <f>VLOOKUP(B28,[1]Summary!$C:$S,6,FALSE)</f>
        <v>1804016.76</v>
      </c>
      <c r="H28" s="35">
        <f>VLOOKUP(B28,[1]Summary!$C:$S,7,FALSE)</f>
        <v>1430970.05</v>
      </c>
      <c r="I28" s="35">
        <f>VLOOKUP(B28,[1]Summary!$C:$S,8,FALSE)</f>
        <v>0</v>
      </c>
      <c r="J28" s="35">
        <f>VLOOKUP(B28,[1]Summary!$C:$S,9,FALSE)</f>
        <v>0</v>
      </c>
      <c r="K28" s="37">
        <f>VLOOKUP(B28,[1]Summary!$C:$S,10,FALSE)</f>
        <v>0</v>
      </c>
      <c r="L28" s="37">
        <f>VLOOKUP(B28,[1]Summary!$C:$S,11,FALSE)</f>
        <v>0</v>
      </c>
      <c r="M28" s="37">
        <f>VLOOKUP(B28,[1]Summary!$C:$S,12,FALSE)</f>
        <v>0</v>
      </c>
      <c r="N28" s="39">
        <f>VLOOKUP(B28,[1]Summary!$C:$S,13,FALSE)</f>
        <v>0</v>
      </c>
      <c r="O28" s="39">
        <f>VLOOKUP(B28,[1]Summary!$C:$S,14,FALSE)</f>
        <v>0</v>
      </c>
      <c r="P28" s="39">
        <f>VLOOKUP(B28,[1]Summary!$C:$S,15,FALSE)</f>
        <v>0</v>
      </c>
      <c r="Q28" s="8">
        <f t="shared" si="0"/>
        <v>5628055.75</v>
      </c>
      <c r="AA28" s="14"/>
      <c r="AD28" s="2"/>
    </row>
    <row r="29" spans="1:30" x14ac:dyDescent="0.3">
      <c r="A29" s="3">
        <v>24</v>
      </c>
      <c r="B29" s="3" t="s">
        <v>68</v>
      </c>
      <c r="C29" s="3" t="s">
        <v>73</v>
      </c>
      <c r="D29" s="3" t="s">
        <v>52</v>
      </c>
      <c r="E29" s="33">
        <f>VLOOKUP(B29,[1]Summary!$C:$S,4,FALSE)</f>
        <v>589237.94999999995</v>
      </c>
      <c r="F29" s="33">
        <f>VLOOKUP(B29,[1]Summary!$C:$S,5,FALSE)</f>
        <v>0</v>
      </c>
      <c r="G29" s="33">
        <f>VLOOKUP(B29,[1]Summary!$C:$S,6,FALSE)</f>
        <v>0</v>
      </c>
      <c r="H29" s="35">
        <f>VLOOKUP(B29,[1]Summary!$C:$S,7,FALSE)</f>
        <v>1327327.52</v>
      </c>
      <c r="I29" s="35">
        <f>VLOOKUP(B29,[1]Summary!$C:$S,8,FALSE)</f>
        <v>0</v>
      </c>
      <c r="J29" s="35">
        <f>VLOOKUP(B29,[1]Summary!$C:$S,9,FALSE)</f>
        <v>0</v>
      </c>
      <c r="K29" s="37">
        <f>VLOOKUP(B29,[1]Summary!$C:$S,10,FALSE)</f>
        <v>0</v>
      </c>
      <c r="L29" s="37">
        <f>VLOOKUP(B29,[1]Summary!$C:$S,11,FALSE)</f>
        <v>0</v>
      </c>
      <c r="M29" s="37">
        <f>VLOOKUP(B29,[1]Summary!$C:$S,12,FALSE)</f>
        <v>0</v>
      </c>
      <c r="N29" s="39">
        <f>VLOOKUP(B29,[1]Summary!$C:$S,13,FALSE)</f>
        <v>0</v>
      </c>
      <c r="O29" s="39">
        <f>VLOOKUP(B29,[1]Summary!$C:$S,14,FALSE)</f>
        <v>0</v>
      </c>
      <c r="P29" s="39">
        <f>VLOOKUP(B29,[1]Summary!$C:$S,15,FALSE)</f>
        <v>0</v>
      </c>
      <c r="Q29" s="8">
        <f t="shared" si="0"/>
        <v>1916565.47</v>
      </c>
      <c r="AA29" s="14"/>
      <c r="AD29" s="2"/>
    </row>
    <row r="30" spans="1:30" x14ac:dyDescent="0.3">
      <c r="A30" s="3">
        <v>25</v>
      </c>
      <c r="B30" s="3" t="s">
        <v>72</v>
      </c>
      <c r="C30" s="3" t="s">
        <v>75</v>
      </c>
      <c r="D30" s="3" t="s">
        <v>52</v>
      </c>
      <c r="E30" s="33">
        <f>VLOOKUP(B30,[1]Summary!$C:$S,4,FALSE)</f>
        <v>808787.81</v>
      </c>
      <c r="F30" s="33">
        <f>VLOOKUP(B30,[1]Summary!$C:$S,5,FALSE)</f>
        <v>652850.18000000005</v>
      </c>
      <c r="G30" s="33">
        <f>VLOOKUP(B30,[1]Summary!$C:$S,6,FALSE)</f>
        <v>868236.66</v>
      </c>
      <c r="H30" s="35">
        <f>VLOOKUP(B30,[1]Summary!$C:$S,7,FALSE)</f>
        <v>966477.16</v>
      </c>
      <c r="I30" s="35">
        <f>VLOOKUP(B30,[1]Summary!$C:$S,8,FALSE)</f>
        <v>0</v>
      </c>
      <c r="J30" s="35">
        <f>VLOOKUP(B30,[1]Summary!$C:$S,9,FALSE)</f>
        <v>0</v>
      </c>
      <c r="K30" s="37">
        <f>VLOOKUP(B30,[1]Summary!$C:$S,10,FALSE)</f>
        <v>0</v>
      </c>
      <c r="L30" s="37">
        <f>VLOOKUP(B30,[1]Summary!$C:$S,11,FALSE)</f>
        <v>0</v>
      </c>
      <c r="M30" s="37">
        <f>VLOOKUP(B30,[1]Summary!$C:$S,12,FALSE)</f>
        <v>0</v>
      </c>
      <c r="N30" s="39">
        <f>VLOOKUP(B30,[1]Summary!$C:$S,13,FALSE)</f>
        <v>0</v>
      </c>
      <c r="O30" s="39">
        <f>VLOOKUP(B30,[1]Summary!$C:$S,14,FALSE)</f>
        <v>0</v>
      </c>
      <c r="P30" s="39">
        <f>VLOOKUP(B30,[1]Summary!$C:$S,15,FALSE)</f>
        <v>0</v>
      </c>
      <c r="Q30" s="8">
        <f t="shared" si="0"/>
        <v>3296351.8100000005</v>
      </c>
      <c r="AA30" s="14"/>
      <c r="AD30" s="2"/>
    </row>
    <row r="31" spans="1:30" x14ac:dyDescent="0.3">
      <c r="A31" s="3">
        <v>26</v>
      </c>
      <c r="B31" s="3" t="s">
        <v>82</v>
      </c>
      <c r="C31" s="3" t="s">
        <v>55</v>
      </c>
      <c r="D31" s="3" t="s">
        <v>52</v>
      </c>
      <c r="E31" s="33">
        <f>VLOOKUP(B31,[1]Summary!$C:$S,4,FALSE)</f>
        <v>0</v>
      </c>
      <c r="F31" s="33">
        <f>VLOOKUP(B31,[1]Summary!$C:$S,5,FALSE)</f>
        <v>0</v>
      </c>
      <c r="G31" s="33">
        <f>VLOOKUP(B31,[1]Summary!$C:$S,6,FALSE)</f>
        <v>0</v>
      </c>
      <c r="H31" s="35">
        <f>VLOOKUP(B31,[1]Summary!$C:$S,7,FALSE)</f>
        <v>0</v>
      </c>
      <c r="I31" s="35">
        <f>VLOOKUP(B31,[1]Summary!$C:$S,8,FALSE)</f>
        <v>0</v>
      </c>
      <c r="J31" s="35">
        <f>VLOOKUP(B31,[1]Summary!$C:$S,9,FALSE)</f>
        <v>0</v>
      </c>
      <c r="K31" s="37">
        <f>VLOOKUP(B31,[1]Summary!$C:$S,10,FALSE)</f>
        <v>0</v>
      </c>
      <c r="L31" s="37">
        <f>VLOOKUP(B31,[1]Summary!$C:$S,11,FALSE)</f>
        <v>0</v>
      </c>
      <c r="M31" s="37">
        <f>VLOOKUP(B31,[1]Summary!$C:$S,12,FALSE)</f>
        <v>0</v>
      </c>
      <c r="N31" s="39">
        <f>VLOOKUP(B31,[1]Summary!$C:$S,13,FALSE)</f>
        <v>0</v>
      </c>
      <c r="O31" s="39">
        <f>VLOOKUP(B31,[1]Summary!$C:$S,14,FALSE)</f>
        <v>0</v>
      </c>
      <c r="P31" s="39">
        <f>VLOOKUP(B31,[1]Summary!$C:$S,15,FALSE)</f>
        <v>0</v>
      </c>
      <c r="Q31" s="8">
        <f t="shared" si="0"/>
        <v>0</v>
      </c>
      <c r="AA31" s="14"/>
      <c r="AD31" s="2"/>
    </row>
    <row r="32" spans="1:30" x14ac:dyDescent="0.3">
      <c r="A32" s="3">
        <v>27</v>
      </c>
      <c r="B32" s="3" t="s">
        <v>29</v>
      </c>
      <c r="C32" s="3" t="s">
        <v>55</v>
      </c>
      <c r="D32" s="3" t="s">
        <v>52</v>
      </c>
      <c r="E32" s="33">
        <f>VLOOKUP(B32,[1]Summary!$C:$S,4,FALSE)</f>
        <v>0</v>
      </c>
      <c r="F32" s="33">
        <f>VLOOKUP(B32,[1]Summary!$C:$S,5,FALSE)</f>
        <v>0</v>
      </c>
      <c r="G32" s="33">
        <f>VLOOKUP(B32,[1]Summary!$C:$S,6,FALSE)</f>
        <v>0</v>
      </c>
      <c r="H32" s="35">
        <f>VLOOKUP(B32,[1]Summary!$C:$S,7,FALSE)</f>
        <v>0</v>
      </c>
      <c r="I32" s="35">
        <f>VLOOKUP(B32,[1]Summary!$C:$S,8,FALSE)</f>
        <v>0</v>
      </c>
      <c r="J32" s="35">
        <f>VLOOKUP(B32,[1]Summary!$C:$S,9,FALSE)</f>
        <v>0</v>
      </c>
      <c r="K32" s="37">
        <f>VLOOKUP(B32,[1]Summary!$C:$S,10,FALSE)</f>
        <v>0</v>
      </c>
      <c r="L32" s="37">
        <f>VLOOKUP(B32,[1]Summary!$C:$S,11,FALSE)</f>
        <v>0</v>
      </c>
      <c r="M32" s="37">
        <f>VLOOKUP(B32,[1]Summary!$C:$S,12,FALSE)</f>
        <v>0</v>
      </c>
      <c r="N32" s="39">
        <f>VLOOKUP(B32,[1]Summary!$C:$S,13,FALSE)</f>
        <v>0</v>
      </c>
      <c r="O32" s="39">
        <f>VLOOKUP(B32,[1]Summary!$C:$S,14,FALSE)</f>
        <v>0</v>
      </c>
      <c r="P32" s="39">
        <f>VLOOKUP(B32,[1]Summary!$C:$S,15,FALSE)</f>
        <v>0</v>
      </c>
      <c r="Q32" s="8">
        <f t="shared" si="0"/>
        <v>0</v>
      </c>
      <c r="AA32" s="14"/>
      <c r="AD32" s="2"/>
    </row>
    <row r="33" spans="1:30" s="28" customFormat="1" x14ac:dyDescent="0.3">
      <c r="A33" s="25">
        <v>28</v>
      </c>
      <c r="B33" s="25" t="s">
        <v>32</v>
      </c>
      <c r="C33" s="25" t="s">
        <v>55</v>
      </c>
      <c r="D33" s="25" t="s">
        <v>52</v>
      </c>
      <c r="E33" s="26">
        <f>VLOOKUP(B33,[1]Summary!$C:$S,4,FALSE)</f>
        <v>0</v>
      </c>
      <c r="F33" s="26">
        <f>VLOOKUP(B33,[1]Summary!$C:$S,5,FALSE)</f>
        <v>0</v>
      </c>
      <c r="G33" s="26">
        <f>VLOOKUP(B33,[1]Summary!$C:$S,6,FALSE)</f>
        <v>0</v>
      </c>
      <c r="H33" s="26">
        <f>VLOOKUP(B33,[1]Summary!$C:$S,7,FALSE)/2</f>
        <v>366939</v>
      </c>
      <c r="I33" s="26">
        <f>VLOOKUP(B33,[1]Summary!$C:$S,8,FALSE)</f>
        <v>0</v>
      </c>
      <c r="J33" s="26">
        <f>VLOOKUP(B33,[1]Summary!$C:$S,9,FALSE)</f>
        <v>0</v>
      </c>
      <c r="K33" s="26">
        <f>VLOOKUP(B33,[1]Summary!$C:$S,10,FALSE)</f>
        <v>0</v>
      </c>
      <c r="L33" s="26">
        <f>VLOOKUP(B33,[1]Summary!$C:$S,11,FALSE)</f>
        <v>0</v>
      </c>
      <c r="M33" s="26">
        <f>VLOOKUP(B33,[1]Summary!$C:$S,12,FALSE)</f>
        <v>0</v>
      </c>
      <c r="N33" s="26">
        <f>VLOOKUP(B33,[1]Summary!$C:$S,13,FALSE)</f>
        <v>0</v>
      </c>
      <c r="O33" s="26">
        <f>VLOOKUP(B33,[1]Summary!$C:$S,14,FALSE)</f>
        <v>0</v>
      </c>
      <c r="P33" s="26">
        <f>VLOOKUP(B33,[1]Summary!$C:$S,15,FALSE)</f>
        <v>0</v>
      </c>
      <c r="Q33" s="27">
        <f t="shared" si="0"/>
        <v>366939</v>
      </c>
      <c r="U33" s="29"/>
      <c r="V33" s="29"/>
      <c r="W33" s="29"/>
      <c r="X33" s="30"/>
      <c r="AA33" s="30"/>
      <c r="AB33" s="29"/>
      <c r="AC33" s="29"/>
      <c r="AD33" s="31"/>
    </row>
    <row r="34" spans="1:30" s="28" customFormat="1" x14ac:dyDescent="0.3">
      <c r="A34" s="25">
        <v>29</v>
      </c>
      <c r="B34" s="25" t="s">
        <v>32</v>
      </c>
      <c r="C34" s="25" t="s">
        <v>57</v>
      </c>
      <c r="D34" s="25" t="s">
        <v>52</v>
      </c>
      <c r="E34" s="26">
        <f>VLOOKUP(B34,[1]Summary!$C:$S,4,FALSE)</f>
        <v>0</v>
      </c>
      <c r="F34" s="26">
        <f>VLOOKUP(B34,[1]Summary!$C:$S,5,FALSE)</f>
        <v>0</v>
      </c>
      <c r="G34" s="26">
        <f>VLOOKUP(B34,[1]Summary!$C:$S,6,FALSE)</f>
        <v>0</v>
      </c>
      <c r="H34" s="26">
        <f>VLOOKUP(B34,[1]Summary!$C:$S,7,FALSE)/2</f>
        <v>366939</v>
      </c>
      <c r="I34" s="26">
        <f>VLOOKUP(B34,[1]Summary!$C:$S,8,FALSE)</f>
        <v>0</v>
      </c>
      <c r="J34" s="26">
        <f>VLOOKUP(B34,[1]Summary!$C:$S,9,FALSE)</f>
        <v>0</v>
      </c>
      <c r="K34" s="26">
        <f>VLOOKUP(B34,[1]Summary!$C:$S,10,FALSE)</f>
        <v>0</v>
      </c>
      <c r="L34" s="26">
        <f>VLOOKUP(B34,[1]Summary!$C:$S,11,FALSE)</f>
        <v>0</v>
      </c>
      <c r="M34" s="26">
        <f>VLOOKUP(B34,[1]Summary!$C:$S,12,FALSE)</f>
        <v>0</v>
      </c>
      <c r="N34" s="26">
        <f>VLOOKUP(B34,[1]Summary!$C:$S,13,FALSE)</f>
        <v>0</v>
      </c>
      <c r="O34" s="26">
        <f>VLOOKUP(B34,[1]Summary!$C:$S,14,FALSE)</f>
        <v>0</v>
      </c>
      <c r="P34" s="26">
        <f>VLOOKUP(B34,[1]Summary!$C:$S,15,FALSE)</f>
        <v>0</v>
      </c>
      <c r="Q34" s="27">
        <f t="shared" si="0"/>
        <v>366939</v>
      </c>
      <c r="U34" s="29"/>
      <c r="V34" s="29"/>
      <c r="W34" s="29"/>
      <c r="X34" s="30"/>
      <c r="AA34" s="30"/>
      <c r="AB34" s="29"/>
      <c r="AC34" s="29"/>
      <c r="AD34" s="31"/>
    </row>
    <row r="35" spans="1:30" x14ac:dyDescent="0.3">
      <c r="A35" s="3">
        <v>30</v>
      </c>
      <c r="B35" s="3" t="s">
        <v>40</v>
      </c>
      <c r="C35" s="3" t="s">
        <v>55</v>
      </c>
      <c r="D35" s="3" t="s">
        <v>52</v>
      </c>
      <c r="E35" s="33">
        <f>VLOOKUP(B35,[1]Summary!$C:$S,4,FALSE)</f>
        <v>0</v>
      </c>
      <c r="F35" s="33">
        <f>VLOOKUP(B35,[1]Summary!$C:$S,5,FALSE)</f>
        <v>0</v>
      </c>
      <c r="G35" s="33">
        <f>VLOOKUP(B35,[1]Summary!$C:$S,6,FALSE)</f>
        <v>0</v>
      </c>
      <c r="H35" s="35">
        <f>VLOOKUP(B35,[1]Summary!$C:$S,7,FALSE)</f>
        <v>6237.92</v>
      </c>
      <c r="I35" s="35">
        <f>VLOOKUP(B35,[1]Summary!$C:$S,8,FALSE)</f>
        <v>0</v>
      </c>
      <c r="J35" s="35">
        <f>VLOOKUP(B35,[1]Summary!$C:$S,9,FALSE)</f>
        <v>0</v>
      </c>
      <c r="K35" s="37">
        <f>VLOOKUP(B35,[1]Summary!$C:$S,10,FALSE)</f>
        <v>0</v>
      </c>
      <c r="L35" s="37">
        <f>VLOOKUP(B35,[1]Summary!$C:$S,11,FALSE)</f>
        <v>0</v>
      </c>
      <c r="M35" s="37">
        <f>VLOOKUP(B35,[1]Summary!$C:$S,12,FALSE)</f>
        <v>0</v>
      </c>
      <c r="N35" s="39">
        <f>VLOOKUP(B35,[1]Summary!$C:$S,13,FALSE)</f>
        <v>0</v>
      </c>
      <c r="O35" s="39">
        <f>VLOOKUP(B35,[1]Summary!$C:$S,14,FALSE)</f>
        <v>0</v>
      </c>
      <c r="P35" s="39">
        <f>VLOOKUP(B35,[1]Summary!$C:$S,15,FALSE)</f>
        <v>0</v>
      </c>
      <c r="Q35" s="8">
        <f t="shared" si="0"/>
        <v>6237.92</v>
      </c>
      <c r="AA35" s="14"/>
      <c r="AD35" s="2"/>
    </row>
    <row r="36" spans="1:30" x14ac:dyDescent="0.3">
      <c r="A36" s="3">
        <v>31</v>
      </c>
      <c r="B36" s="3" t="s">
        <v>41</v>
      </c>
      <c r="C36" s="3" t="s">
        <v>55</v>
      </c>
      <c r="D36" s="3" t="s">
        <v>52</v>
      </c>
      <c r="E36" s="33">
        <f>VLOOKUP(B36,[1]Summary!$C:$S,4,FALSE)</f>
        <v>15149.99</v>
      </c>
      <c r="F36" s="33">
        <f>VLOOKUP(B36,[1]Summary!$C:$S,5,FALSE)</f>
        <v>16391.490000000005</v>
      </c>
      <c r="G36" s="33">
        <f>VLOOKUP(B36,[1]Summary!$C:$S,6,FALSE)</f>
        <v>14907.8</v>
      </c>
      <c r="H36" s="35">
        <f>VLOOKUP(B36,[1]Summary!$C:$S,7,FALSE)</f>
        <v>0</v>
      </c>
      <c r="I36" s="35">
        <f>VLOOKUP(B36,[1]Summary!$C:$S,8,FALSE)</f>
        <v>0</v>
      </c>
      <c r="J36" s="35">
        <f>VLOOKUP(B36,[1]Summary!$C:$S,9,FALSE)</f>
        <v>0</v>
      </c>
      <c r="K36" s="37">
        <f>VLOOKUP(B36,[1]Summary!$C:$S,10,FALSE)</f>
        <v>0</v>
      </c>
      <c r="L36" s="37">
        <f>VLOOKUP(B36,[1]Summary!$C:$S,11,FALSE)</f>
        <v>0</v>
      </c>
      <c r="M36" s="37">
        <f>VLOOKUP(B36,[1]Summary!$C:$S,12,FALSE)</f>
        <v>0</v>
      </c>
      <c r="N36" s="39">
        <f>VLOOKUP(B36,[1]Summary!$C:$S,13,FALSE)</f>
        <v>0</v>
      </c>
      <c r="O36" s="39">
        <f>VLOOKUP(B36,[1]Summary!$C:$S,14,FALSE)</f>
        <v>0</v>
      </c>
      <c r="P36" s="39">
        <f>VLOOKUP(B36,[1]Summary!$C:$S,15,FALSE)</f>
        <v>0</v>
      </c>
      <c r="Q36" s="8">
        <f t="shared" si="0"/>
        <v>46449.279999999999</v>
      </c>
      <c r="AA36" s="14"/>
      <c r="AD36" s="2"/>
    </row>
    <row r="37" spans="1:30" x14ac:dyDescent="0.3">
      <c r="A37" s="3">
        <v>32</v>
      </c>
      <c r="B37" s="3" t="s">
        <v>43</v>
      </c>
      <c r="C37" s="3" t="s">
        <v>53</v>
      </c>
      <c r="D37" s="3" t="s">
        <v>52</v>
      </c>
      <c r="E37" s="33">
        <f>VLOOKUP(B37,[1]Summary!$C:$S,4,FALSE)</f>
        <v>997024.42999999993</v>
      </c>
      <c r="F37" s="33">
        <f>VLOOKUP(B37,[1]Summary!$C:$S,5,FALSE)</f>
        <v>32402.9</v>
      </c>
      <c r="G37" s="33">
        <f>VLOOKUP(B37,[1]Summary!$C:$S,6,FALSE)</f>
        <v>1887045.5999999999</v>
      </c>
      <c r="H37" s="35">
        <f>VLOOKUP(B37,[1]Summary!$C:$S,7,FALSE)</f>
        <v>942267.62000000011</v>
      </c>
      <c r="I37" s="35">
        <f>VLOOKUP(B37,[1]Summary!$C:$S,8,FALSE)</f>
        <v>0</v>
      </c>
      <c r="J37" s="35">
        <f>VLOOKUP(B37,[1]Summary!$C:$S,9,FALSE)</f>
        <v>0</v>
      </c>
      <c r="K37" s="37">
        <f>VLOOKUP(B37,[1]Summary!$C:$S,10,FALSE)</f>
        <v>0</v>
      </c>
      <c r="L37" s="37">
        <f>VLOOKUP(B37,[1]Summary!$C:$S,11,FALSE)</f>
        <v>0</v>
      </c>
      <c r="M37" s="37">
        <f>VLOOKUP(B37,[1]Summary!$C:$S,12,FALSE)</f>
        <v>0</v>
      </c>
      <c r="N37" s="39">
        <f>VLOOKUP(B37,[1]Summary!$C:$S,13,FALSE)</f>
        <v>0</v>
      </c>
      <c r="O37" s="39">
        <f>VLOOKUP(B37,[1]Summary!$C:$S,14,FALSE)</f>
        <v>0</v>
      </c>
      <c r="P37" s="39">
        <f>VLOOKUP(B37,[1]Summary!$C:$S,15,FALSE)</f>
        <v>0</v>
      </c>
      <c r="Q37" s="8">
        <f t="shared" si="0"/>
        <v>3858740.55</v>
      </c>
      <c r="AA37" s="14"/>
      <c r="AD37" s="2"/>
    </row>
    <row r="38" spans="1:30" x14ac:dyDescent="0.3">
      <c r="A38" s="3">
        <v>33</v>
      </c>
      <c r="B38" s="3" t="s">
        <v>83</v>
      </c>
      <c r="C38" s="3" t="s">
        <v>55</v>
      </c>
      <c r="D38" s="3" t="s">
        <v>52</v>
      </c>
      <c r="E38" s="33">
        <f>VLOOKUP(B38,[1]Summary!$C:$S,4,FALSE)</f>
        <v>19701.009999999998</v>
      </c>
      <c r="F38" s="33">
        <f>VLOOKUP(B38,[1]Summary!$C:$S,5,FALSE)</f>
        <v>25200</v>
      </c>
      <c r="G38" s="33">
        <f>VLOOKUP(B38,[1]Summary!$C:$S,6,FALSE)</f>
        <v>0</v>
      </c>
      <c r="H38" s="35">
        <f>VLOOKUP(B38,[1]Summary!$C:$S,7,FALSE)</f>
        <v>0</v>
      </c>
      <c r="I38" s="35">
        <f>VLOOKUP(B38,[1]Summary!$C:$S,8,FALSE)</f>
        <v>0</v>
      </c>
      <c r="J38" s="35">
        <f>VLOOKUP(B38,[1]Summary!$C:$S,9,FALSE)</f>
        <v>0</v>
      </c>
      <c r="K38" s="37">
        <f>VLOOKUP(B38,[1]Summary!$C:$S,10,FALSE)</f>
        <v>0</v>
      </c>
      <c r="L38" s="37">
        <f>VLOOKUP(B38,[1]Summary!$C:$S,11,FALSE)</f>
        <v>0</v>
      </c>
      <c r="M38" s="37">
        <f>VLOOKUP(B38,[1]Summary!$C:$S,12,FALSE)</f>
        <v>0</v>
      </c>
      <c r="N38" s="39">
        <f>VLOOKUP(B38,[1]Summary!$C:$S,13,FALSE)</f>
        <v>0</v>
      </c>
      <c r="O38" s="39">
        <f>VLOOKUP(B38,[1]Summary!$C:$S,14,FALSE)</f>
        <v>0</v>
      </c>
      <c r="P38" s="39">
        <f>VLOOKUP(B38,[1]Summary!$C:$S,15,FALSE)</f>
        <v>0</v>
      </c>
      <c r="Q38" s="8">
        <f t="shared" si="0"/>
        <v>44901.009999999995</v>
      </c>
      <c r="AA38" s="14"/>
      <c r="AD38" s="2"/>
    </row>
    <row r="39" spans="1:30" x14ac:dyDescent="0.3">
      <c r="A39" s="3"/>
      <c r="B39" s="3"/>
      <c r="C39" s="3"/>
      <c r="D39" s="3" t="s">
        <v>52</v>
      </c>
      <c r="E39" s="33"/>
      <c r="F39" s="33"/>
      <c r="G39" s="33"/>
      <c r="H39" s="35"/>
      <c r="I39" s="35"/>
      <c r="J39" s="35"/>
      <c r="K39" s="37"/>
      <c r="L39" s="37"/>
      <c r="M39" s="37"/>
      <c r="N39" s="39"/>
      <c r="O39" s="39"/>
      <c r="P39" s="39"/>
      <c r="Q39" s="8"/>
    </row>
    <row r="40" spans="1:30" s="2" customFormat="1" x14ac:dyDescent="0.3">
      <c r="A40" s="1"/>
      <c r="B40" s="1" t="s">
        <v>93</v>
      </c>
      <c r="C40" s="1"/>
      <c r="D40" s="3" t="s">
        <v>52</v>
      </c>
      <c r="E40" s="34">
        <f t="shared" ref="E40:Q40" si="1">SUM(E6:E39)</f>
        <v>40687331.330000006</v>
      </c>
      <c r="F40" s="34">
        <f t="shared" si="1"/>
        <v>12472576.51</v>
      </c>
      <c r="G40" s="34">
        <f t="shared" si="1"/>
        <v>51006909.199999996</v>
      </c>
      <c r="H40" s="36">
        <f t="shared" si="1"/>
        <v>35583515.699999996</v>
      </c>
      <c r="I40" s="36">
        <f t="shared" si="1"/>
        <v>0</v>
      </c>
      <c r="J40" s="36">
        <f t="shared" si="1"/>
        <v>0</v>
      </c>
      <c r="K40" s="38">
        <f t="shared" si="1"/>
        <v>0</v>
      </c>
      <c r="L40" s="38">
        <f t="shared" si="1"/>
        <v>0</v>
      </c>
      <c r="M40" s="38">
        <f t="shared" si="1"/>
        <v>0</v>
      </c>
      <c r="N40" s="40">
        <f t="shared" si="1"/>
        <v>0</v>
      </c>
      <c r="O40" s="40">
        <f t="shared" si="1"/>
        <v>0</v>
      </c>
      <c r="P40" s="40">
        <f t="shared" si="1"/>
        <v>0</v>
      </c>
      <c r="Q40" s="8">
        <f t="shared" si="1"/>
        <v>139750332.74000001</v>
      </c>
      <c r="U40" s="13"/>
      <c r="V40" s="13"/>
      <c r="W40" s="14"/>
      <c r="X40" s="14"/>
      <c r="Z40" s="4"/>
      <c r="AA40" s="14"/>
      <c r="AB40" s="13"/>
      <c r="AC40" s="13"/>
    </row>
    <row r="42" spans="1:30" x14ac:dyDescent="0.3">
      <c r="E42" s="13"/>
      <c r="F42" s="13"/>
      <c r="G42" s="13"/>
      <c r="H42" s="13"/>
      <c r="I42" s="13"/>
      <c r="J42" s="13"/>
      <c r="K42" s="13"/>
      <c r="L42" s="13"/>
      <c r="M42" s="13"/>
      <c r="N42" s="13"/>
      <c r="O42" s="13"/>
      <c r="P42" s="13"/>
      <c r="Q42" s="13"/>
    </row>
    <row r="43" spans="1:30" x14ac:dyDescent="0.3">
      <c r="E43" s="13"/>
      <c r="F43" s="13"/>
      <c r="G43" s="13"/>
      <c r="H43" s="13"/>
      <c r="I43" s="13"/>
      <c r="J43" s="13"/>
      <c r="K43" s="13"/>
      <c r="L43" s="13"/>
      <c r="M43" s="13"/>
      <c r="N43" s="13"/>
      <c r="O43" s="13"/>
      <c r="P43" s="13"/>
      <c r="Q43" s="14"/>
    </row>
    <row r="44" spans="1:30" x14ac:dyDescent="0.3">
      <c r="E44" s="13"/>
      <c r="F44" s="13"/>
      <c r="G44" s="13"/>
      <c r="H44" s="13"/>
      <c r="I44" s="13"/>
      <c r="J44" s="13"/>
      <c r="K44" s="13"/>
      <c r="L44" s="13"/>
      <c r="M44" s="13"/>
      <c r="N44" s="13"/>
      <c r="O44" s="13"/>
      <c r="P44" s="13"/>
      <c r="Q44" s="14"/>
    </row>
    <row r="45" spans="1:30" x14ac:dyDescent="0.3">
      <c r="E45" s="13"/>
      <c r="F45" s="13"/>
      <c r="G45" s="13"/>
      <c r="H45" s="13"/>
      <c r="I45" s="13"/>
      <c r="J45" s="13"/>
      <c r="K45" s="13"/>
      <c r="L45" s="13"/>
      <c r="M45" s="13"/>
      <c r="N45" s="13"/>
      <c r="O45" s="13"/>
      <c r="P45" s="13"/>
      <c r="Q45" s="14"/>
    </row>
    <row r="46" spans="1:30" x14ac:dyDescent="0.3">
      <c r="E46" s="13"/>
      <c r="F46" s="13"/>
      <c r="G46" s="13"/>
      <c r="H46" s="13"/>
      <c r="I46" s="13"/>
      <c r="J46" s="13"/>
      <c r="K46" s="13"/>
      <c r="L46" s="13"/>
      <c r="M46" s="13"/>
      <c r="N46" s="13"/>
      <c r="O46" s="13"/>
      <c r="P46" s="13"/>
      <c r="Q46" s="14"/>
    </row>
    <row r="47" spans="1:30" x14ac:dyDescent="0.3">
      <c r="E47" s="13"/>
      <c r="F47" s="13"/>
      <c r="G47" s="13"/>
      <c r="H47" s="13"/>
      <c r="I47" s="13"/>
      <c r="J47" s="13"/>
      <c r="K47" s="13"/>
      <c r="L47" s="13"/>
      <c r="M47" s="13"/>
      <c r="N47" s="13"/>
      <c r="O47" s="13"/>
      <c r="P47" s="13"/>
      <c r="Q47" s="14"/>
    </row>
    <row r="48" spans="1:30" x14ac:dyDescent="0.3">
      <c r="E48" s="13"/>
      <c r="F48" s="13"/>
      <c r="G48" s="13"/>
      <c r="H48" s="13"/>
      <c r="I48" s="13"/>
      <c r="J48" s="13"/>
      <c r="K48" s="13"/>
      <c r="L48" s="13"/>
      <c r="M48" s="13"/>
      <c r="N48" s="13"/>
      <c r="O48" s="13"/>
      <c r="P48" s="13"/>
      <c r="Q48" s="14"/>
    </row>
    <row r="49" spans="5:17" x14ac:dyDescent="0.3">
      <c r="E49" s="13"/>
      <c r="F49" s="13"/>
      <c r="G49" s="13"/>
      <c r="H49" s="13"/>
      <c r="I49" s="13"/>
      <c r="J49" s="13"/>
      <c r="K49" s="13"/>
      <c r="L49" s="13"/>
      <c r="M49" s="13"/>
      <c r="N49" s="13"/>
      <c r="O49" s="13"/>
      <c r="P49" s="13"/>
      <c r="Q49" s="14"/>
    </row>
    <row r="50" spans="5:17" x14ac:dyDescent="0.3">
      <c r="E50" s="13"/>
      <c r="F50" s="13"/>
      <c r="G50" s="13"/>
      <c r="H50" s="13"/>
      <c r="I50" s="13"/>
      <c r="J50" s="13"/>
      <c r="K50" s="13"/>
      <c r="L50" s="13"/>
      <c r="M50" s="13"/>
      <c r="N50" s="13"/>
      <c r="O50" s="13"/>
      <c r="P50" s="13"/>
      <c r="Q50" s="14"/>
    </row>
    <row r="51" spans="5:17" x14ac:dyDescent="0.3">
      <c r="E51" s="13"/>
      <c r="F51" s="13"/>
      <c r="G51" s="13"/>
      <c r="H51" s="13"/>
      <c r="I51" s="13"/>
      <c r="J51" s="13"/>
      <c r="K51" s="13"/>
      <c r="L51" s="13"/>
      <c r="M51" s="13"/>
      <c r="N51" s="13"/>
      <c r="O51" s="13"/>
      <c r="P51" s="13"/>
      <c r="Q51" s="14"/>
    </row>
    <row r="52" spans="5:17" x14ac:dyDescent="0.3">
      <c r="E52" s="13"/>
      <c r="F52" s="13"/>
      <c r="G52" s="13"/>
      <c r="H52" s="13"/>
      <c r="I52" s="13"/>
      <c r="J52" s="13"/>
      <c r="K52" s="13"/>
      <c r="L52" s="13"/>
      <c r="M52" s="13"/>
      <c r="N52" s="13"/>
      <c r="O52" s="13"/>
      <c r="P52" s="13"/>
      <c r="Q52" s="14"/>
    </row>
    <row r="53" spans="5:17" x14ac:dyDescent="0.3">
      <c r="E53" s="13"/>
      <c r="F53" s="13"/>
      <c r="G53" s="13"/>
      <c r="H53" s="13"/>
      <c r="I53" s="13"/>
      <c r="J53" s="13"/>
      <c r="K53" s="13"/>
      <c r="L53" s="13"/>
      <c r="M53" s="13"/>
      <c r="N53" s="13"/>
      <c r="O53" s="13"/>
      <c r="P53" s="13"/>
      <c r="Q53" s="14"/>
    </row>
    <row r="54" spans="5:17" x14ac:dyDescent="0.3">
      <c r="E54" s="13"/>
      <c r="F54" s="13"/>
      <c r="G54" s="13"/>
      <c r="H54" s="13"/>
      <c r="I54" s="13"/>
      <c r="J54" s="13"/>
      <c r="K54" s="13"/>
      <c r="L54" s="13"/>
      <c r="M54" s="13"/>
      <c r="N54" s="13"/>
      <c r="O54" s="13"/>
      <c r="P54" s="13"/>
      <c r="Q54" s="14"/>
    </row>
    <row r="55" spans="5:17" x14ac:dyDescent="0.3">
      <c r="E55" s="13"/>
      <c r="F55" s="13"/>
      <c r="G55" s="13"/>
      <c r="H55" s="13"/>
      <c r="I55" s="13"/>
      <c r="J55" s="13"/>
      <c r="K55" s="13"/>
      <c r="L55" s="13"/>
      <c r="M55" s="13"/>
      <c r="N55" s="13"/>
      <c r="O55" s="13"/>
      <c r="P55" s="13"/>
      <c r="Q55" s="14"/>
    </row>
    <row r="56" spans="5:17" x14ac:dyDescent="0.3">
      <c r="E56" s="13"/>
      <c r="F56" s="13"/>
      <c r="G56" s="13"/>
      <c r="H56" s="13"/>
      <c r="I56" s="13"/>
      <c r="J56" s="13"/>
      <c r="K56" s="13"/>
      <c r="L56" s="13"/>
      <c r="M56" s="13"/>
      <c r="N56" s="13"/>
      <c r="O56" s="13"/>
      <c r="P56" s="13"/>
      <c r="Q56" s="14"/>
    </row>
  </sheetData>
  <sortState xmlns:xlrd2="http://schemas.microsoft.com/office/spreadsheetml/2017/richdata2" ref="A6:U38">
    <sortCondition ref="B6:B38"/>
  </sortState>
  <mergeCells count="1">
    <mergeCell ref="B1:C3"/>
  </mergeCells>
  <phoneticPr fontId="4" type="noConversion"/>
  <pageMargins left="0.7" right="0.7" top="0.75" bottom="0.75" header="0.3" footer="0.3"/>
  <pageSetup scale="58"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77E91-56DF-4F8F-A0EB-726411E6C039}">
  <sheetPr>
    <tabColor rgb="FF002060"/>
  </sheetPr>
  <dimension ref="A1:R36"/>
  <sheetViews>
    <sheetView topLeftCell="C1" workbookViewId="0">
      <pane ySplit="1" topLeftCell="A2" activePane="bottomLeft" state="frozen"/>
      <selection pane="bottomLeft" activeCell="G28" sqref="G2:K28"/>
    </sheetView>
  </sheetViews>
  <sheetFormatPr defaultColWidth="9.109375" defaultRowHeight="14.4" x14ac:dyDescent="0.3"/>
  <cols>
    <col min="1" max="1" width="3.44140625" style="4" bestFit="1" customWidth="1"/>
    <col min="2" max="2" width="34.109375" style="4" bestFit="1" customWidth="1"/>
    <col min="3" max="3" width="52.5546875" style="4" customWidth="1"/>
    <col min="4" max="4" width="15.33203125" style="4" bestFit="1" customWidth="1"/>
    <col min="5" max="5" width="94.33203125" style="4" bestFit="1" customWidth="1"/>
    <col min="6" max="6" width="5.5546875" style="4" bestFit="1" customWidth="1"/>
    <col min="7" max="7" width="12.88671875" style="4" bestFit="1" customWidth="1"/>
    <col min="8" max="8" width="15.5546875" style="4" bestFit="1" customWidth="1"/>
    <col min="9" max="9" width="15.44140625" style="4" bestFit="1" customWidth="1"/>
    <col min="10" max="10" width="13.88671875" style="4" bestFit="1" customWidth="1"/>
    <col min="11" max="11" width="13.88671875" style="4" customWidth="1"/>
    <col min="12" max="12" width="13.33203125" style="2" bestFit="1" customWidth="1"/>
    <col min="13" max="15" width="9.109375" style="4"/>
    <col min="16" max="16" width="65.88671875" style="4" bestFit="1" customWidth="1"/>
    <col min="17" max="17" width="15.5546875" style="12" bestFit="1" customWidth="1"/>
    <col min="18" max="18" width="9.109375" style="12"/>
    <col min="19" max="16384" width="9.109375" style="4"/>
  </cols>
  <sheetData>
    <row r="1" spans="1:18" s="2" customFormat="1" x14ac:dyDescent="0.3">
      <c r="A1" s="6" t="s">
        <v>28</v>
      </c>
      <c r="B1" s="6" t="s">
        <v>27</v>
      </c>
      <c r="C1" s="6" t="s">
        <v>26</v>
      </c>
      <c r="D1" s="6" t="s">
        <v>25</v>
      </c>
      <c r="E1" s="6" t="s">
        <v>62</v>
      </c>
      <c r="F1" s="6" t="s">
        <v>51</v>
      </c>
      <c r="G1" s="6">
        <v>2021</v>
      </c>
      <c r="H1" s="6">
        <v>2022</v>
      </c>
      <c r="I1" s="6">
        <v>2023</v>
      </c>
      <c r="J1" s="6">
        <v>2024</v>
      </c>
      <c r="K1" s="6">
        <v>2025</v>
      </c>
      <c r="L1" s="6" t="s">
        <v>46</v>
      </c>
      <c r="P1" s="2" t="s">
        <v>26</v>
      </c>
      <c r="Q1" s="11">
        <v>2022</v>
      </c>
      <c r="R1" s="11"/>
    </row>
    <row r="2" spans="1:18" s="2" customFormat="1" x14ac:dyDescent="0.3">
      <c r="A2" s="3">
        <v>1</v>
      </c>
      <c r="B2" s="3" t="s">
        <v>2</v>
      </c>
      <c r="C2" s="3" t="s">
        <v>47</v>
      </c>
      <c r="D2" s="3" t="s">
        <v>22</v>
      </c>
      <c r="E2" s="3" t="s">
        <v>53</v>
      </c>
      <c r="F2" s="3" t="s">
        <v>52</v>
      </c>
      <c r="G2" s="7">
        <v>1255.45</v>
      </c>
      <c r="H2" s="7">
        <v>6654407.3899999997</v>
      </c>
      <c r="I2" s="7">
        <v>19485427.829999998</v>
      </c>
      <c r="J2" s="7">
        <v>14936702.9</v>
      </c>
      <c r="K2" s="7">
        <f>VLOOKUP(B2,[2]Summary!$V:$W,2,FALSE)</f>
        <v>25000000</v>
      </c>
      <c r="L2" s="8">
        <f>SUM(G2:K2)</f>
        <v>66077793.57</v>
      </c>
      <c r="P2" s="2" t="s">
        <v>47</v>
      </c>
      <c r="Q2" s="11">
        <v>6654407.3899999997</v>
      </c>
      <c r="R2" s="11"/>
    </row>
    <row r="3" spans="1:18" x14ac:dyDescent="0.3">
      <c r="A3" s="3">
        <v>2</v>
      </c>
      <c r="B3" s="3" t="s">
        <v>16</v>
      </c>
      <c r="C3" s="3" t="s">
        <v>44</v>
      </c>
      <c r="D3" s="3" t="s">
        <v>22</v>
      </c>
      <c r="E3" s="3" t="s">
        <v>53</v>
      </c>
      <c r="F3" s="3" t="s">
        <v>52</v>
      </c>
      <c r="G3" s="7">
        <v>0</v>
      </c>
      <c r="H3" s="7">
        <v>8338656.0499999998</v>
      </c>
      <c r="I3" s="7">
        <v>28802809.73</v>
      </c>
      <c r="J3" s="7">
        <v>217667039</v>
      </c>
      <c r="K3" s="7">
        <f>VLOOKUP(B3,[2]Summary!$V:$W,2,FALSE)</f>
        <v>0</v>
      </c>
      <c r="L3" s="8">
        <f t="shared" ref="L3:L28" si="0">SUM(G3:K3)</f>
        <v>254808504.78</v>
      </c>
      <c r="P3" s="4" t="s">
        <v>44</v>
      </c>
      <c r="Q3" s="12">
        <v>8338656.0499999998</v>
      </c>
    </row>
    <row r="4" spans="1:18" x14ac:dyDescent="0.3">
      <c r="A4" s="3">
        <v>3</v>
      </c>
      <c r="B4" s="3" t="s">
        <v>0</v>
      </c>
      <c r="C4" s="3" t="s">
        <v>38</v>
      </c>
      <c r="D4" s="3" t="s">
        <v>20</v>
      </c>
      <c r="E4" s="3" t="s">
        <v>54</v>
      </c>
      <c r="F4" s="3" t="s">
        <v>52</v>
      </c>
      <c r="G4" s="7">
        <v>182837.69999999998</v>
      </c>
      <c r="H4" s="7">
        <v>173197.44</v>
      </c>
      <c r="I4" s="7">
        <v>181293.375</v>
      </c>
      <c r="J4" s="7">
        <v>584892.36</v>
      </c>
      <c r="K4" s="7">
        <v>602440.02</v>
      </c>
      <c r="L4" s="8">
        <f t="shared" si="0"/>
        <v>1724660.895</v>
      </c>
      <c r="P4" s="4" t="s">
        <v>38</v>
      </c>
      <c r="Q4" s="12">
        <v>173197.44</v>
      </c>
    </row>
    <row r="5" spans="1:18" x14ac:dyDescent="0.3">
      <c r="A5" s="3">
        <v>4</v>
      </c>
      <c r="B5" s="3" t="s">
        <v>0</v>
      </c>
      <c r="C5" s="3" t="s">
        <v>38</v>
      </c>
      <c r="D5" s="3" t="s">
        <v>20</v>
      </c>
      <c r="E5" s="3" t="s">
        <v>55</v>
      </c>
      <c r="F5" s="3" t="s">
        <v>52</v>
      </c>
      <c r="G5" s="7">
        <v>182837.69999999998</v>
      </c>
      <c r="H5" s="7">
        <v>173197.44</v>
      </c>
      <c r="I5" s="7">
        <v>181293.375</v>
      </c>
      <c r="J5" s="7">
        <v>584892.36</v>
      </c>
      <c r="K5" s="7">
        <v>602440.02</v>
      </c>
      <c r="L5" s="8">
        <f t="shared" si="0"/>
        <v>1724660.895</v>
      </c>
      <c r="P5" s="4" t="s">
        <v>38</v>
      </c>
      <c r="Q5" s="12">
        <v>173197.44</v>
      </c>
    </row>
    <row r="6" spans="1:18" x14ac:dyDescent="0.3">
      <c r="A6" s="3">
        <v>5</v>
      </c>
      <c r="B6" s="3" t="s">
        <v>1</v>
      </c>
      <c r="C6" s="3" t="s">
        <v>39</v>
      </c>
      <c r="D6" s="3" t="s">
        <v>20</v>
      </c>
      <c r="E6" s="3" t="s">
        <v>55</v>
      </c>
      <c r="F6" s="3" t="s">
        <v>52</v>
      </c>
      <c r="G6" s="7">
        <v>55680.82</v>
      </c>
      <c r="H6" s="7">
        <v>361573.9</v>
      </c>
      <c r="I6" s="7">
        <v>142727.12</v>
      </c>
      <c r="J6" s="7">
        <v>0</v>
      </c>
      <c r="K6" s="7">
        <f>VLOOKUP(B6,[2]Summary!$V:$W,2,FALSE)</f>
        <v>82840.3</v>
      </c>
      <c r="L6" s="8">
        <f t="shared" si="0"/>
        <v>642822.14000000013</v>
      </c>
      <c r="P6" s="4" t="s">
        <v>39</v>
      </c>
      <c r="Q6" s="12">
        <v>361573.9</v>
      </c>
    </row>
    <row r="7" spans="1:18" x14ac:dyDescent="0.3">
      <c r="A7" s="3">
        <v>6</v>
      </c>
      <c r="B7" s="3" t="s">
        <v>3</v>
      </c>
      <c r="C7" s="3" t="s">
        <v>40</v>
      </c>
      <c r="D7" s="3" t="s">
        <v>20</v>
      </c>
      <c r="E7" s="3" t="s">
        <v>55</v>
      </c>
      <c r="F7" s="3" t="s">
        <v>52</v>
      </c>
      <c r="G7" s="7">
        <v>6769764.8600000003</v>
      </c>
      <c r="H7" s="7">
        <v>8997632.9100000001</v>
      </c>
      <c r="I7" s="7">
        <v>10889671.09</v>
      </c>
      <c r="J7" s="7">
        <v>17203258</v>
      </c>
      <c r="K7" s="7">
        <f>VLOOKUP(B7,[2]Summary!$V:$W,2,FALSE)</f>
        <v>0</v>
      </c>
      <c r="L7" s="8">
        <f t="shared" si="0"/>
        <v>43860326.859999999</v>
      </c>
      <c r="P7" s="4" t="s">
        <v>40</v>
      </c>
      <c r="Q7" s="12">
        <v>8997632.9100000001</v>
      </c>
    </row>
    <row r="8" spans="1:18" x14ac:dyDescent="0.3">
      <c r="A8" s="3">
        <v>7</v>
      </c>
      <c r="B8" s="3" t="s">
        <v>4</v>
      </c>
      <c r="C8" s="3" t="s">
        <v>29</v>
      </c>
      <c r="D8" s="3" t="s">
        <v>20</v>
      </c>
      <c r="E8" s="3" t="s">
        <v>55</v>
      </c>
      <c r="F8" s="3" t="s">
        <v>52</v>
      </c>
      <c r="G8" s="7">
        <v>9325</v>
      </c>
      <c r="H8" s="7">
        <v>500</v>
      </c>
      <c r="I8" s="7">
        <v>500</v>
      </c>
      <c r="J8" s="7">
        <v>500</v>
      </c>
      <c r="K8" s="7">
        <v>500</v>
      </c>
      <c r="L8" s="8">
        <f t="shared" si="0"/>
        <v>11325</v>
      </c>
      <c r="P8" s="4" t="s">
        <v>29</v>
      </c>
      <c r="Q8" s="12">
        <v>500</v>
      </c>
    </row>
    <row r="9" spans="1:18" x14ac:dyDescent="0.3">
      <c r="A9" s="3">
        <v>8</v>
      </c>
      <c r="B9" s="3" t="s">
        <v>5</v>
      </c>
      <c r="C9" s="3" t="s">
        <v>41</v>
      </c>
      <c r="D9" s="3" t="s">
        <v>20</v>
      </c>
      <c r="E9" s="3" t="s">
        <v>55</v>
      </c>
      <c r="F9" s="3" t="s">
        <v>52</v>
      </c>
      <c r="G9" s="7">
        <v>171077.56</v>
      </c>
      <c r="H9" s="7">
        <v>369514.98</v>
      </c>
      <c r="I9" s="7">
        <v>159580.87</v>
      </c>
      <c r="J9" s="7">
        <v>44886.74</v>
      </c>
      <c r="K9" s="7">
        <f>VLOOKUP(B9,[2]Summary!$V:$W,2,FALSE)</f>
        <v>46027.13</v>
      </c>
      <c r="L9" s="8">
        <f t="shared" si="0"/>
        <v>791087.28</v>
      </c>
      <c r="P9" s="4" t="s">
        <v>41</v>
      </c>
      <c r="Q9" s="12">
        <v>369514.98</v>
      </c>
    </row>
    <row r="10" spans="1:18" x14ac:dyDescent="0.3">
      <c r="A10" s="3">
        <v>9</v>
      </c>
      <c r="B10" s="3" t="s">
        <v>10</v>
      </c>
      <c r="C10" s="3" t="s">
        <v>31</v>
      </c>
      <c r="D10" s="3" t="s">
        <v>20</v>
      </c>
      <c r="E10" s="3" t="s">
        <v>56</v>
      </c>
      <c r="F10" s="3" t="s">
        <v>52</v>
      </c>
      <c r="G10" s="7">
        <v>37425.94</v>
      </c>
      <c r="H10" s="7">
        <v>44145.3</v>
      </c>
      <c r="I10" s="7">
        <v>13264.9</v>
      </c>
      <c r="J10" s="7">
        <v>0</v>
      </c>
      <c r="K10" s="7">
        <f>VLOOKUP(B10,[2]Summary!$V:$W,2,FALSE)</f>
        <v>0</v>
      </c>
      <c r="L10" s="8">
        <f t="shared" si="0"/>
        <v>94836.14</v>
      </c>
      <c r="P10" s="4" t="s">
        <v>31</v>
      </c>
      <c r="Q10" s="12">
        <v>44145.3</v>
      </c>
    </row>
    <row r="11" spans="1:18" x14ac:dyDescent="0.3">
      <c r="A11" s="3">
        <v>10</v>
      </c>
      <c r="B11" s="3" t="s">
        <v>63</v>
      </c>
      <c r="C11" s="3" t="s">
        <v>64</v>
      </c>
      <c r="D11" s="3" t="s">
        <v>76</v>
      </c>
      <c r="E11" s="3" t="s">
        <v>55</v>
      </c>
      <c r="F11" s="3" t="s">
        <v>52</v>
      </c>
      <c r="G11" s="7">
        <v>8993901.379999999</v>
      </c>
      <c r="H11" s="7">
        <v>33704943.869999997</v>
      </c>
      <c r="I11" s="7">
        <v>29306939.179999992</v>
      </c>
      <c r="J11" s="7">
        <v>40467933.640000001</v>
      </c>
      <c r="K11" s="7">
        <f>VLOOKUP(B11,[2]Summary!$V:$W,2,FALSE)</f>
        <v>13822651.100000001</v>
      </c>
      <c r="L11" s="8">
        <f t="shared" si="0"/>
        <v>126296369.16999999</v>
      </c>
      <c r="P11" s="4" t="s">
        <v>64</v>
      </c>
      <c r="Q11" s="12">
        <v>33704943.869999997</v>
      </c>
    </row>
    <row r="12" spans="1:18" x14ac:dyDescent="0.3">
      <c r="A12" s="3">
        <v>11</v>
      </c>
      <c r="B12" s="3" t="s">
        <v>65</v>
      </c>
      <c r="C12" s="3" t="s">
        <v>66</v>
      </c>
      <c r="D12" s="3" t="s">
        <v>76</v>
      </c>
      <c r="E12" s="3" t="s">
        <v>56</v>
      </c>
      <c r="F12" s="3" t="s">
        <v>52</v>
      </c>
      <c r="G12" s="7">
        <v>4011692.58</v>
      </c>
      <c r="H12" s="7">
        <v>17548289.649999999</v>
      </c>
      <c r="I12" s="7">
        <v>16148792.780000001</v>
      </c>
      <c r="J12" s="7">
        <v>20619004.199999996</v>
      </c>
      <c r="K12" s="7">
        <f>VLOOKUP(B12,[2]Summary!$V:$W,2,FALSE)</f>
        <v>6492043.5199999996</v>
      </c>
      <c r="L12" s="8">
        <f t="shared" si="0"/>
        <v>64819822.729999989</v>
      </c>
      <c r="P12" s="4" t="s">
        <v>66</v>
      </c>
      <c r="Q12" s="12">
        <v>17548289.649999999</v>
      </c>
    </row>
    <row r="13" spans="1:18" x14ac:dyDescent="0.3">
      <c r="A13" s="3">
        <v>12</v>
      </c>
      <c r="B13" s="3" t="s">
        <v>67</v>
      </c>
      <c r="C13" s="3" t="s">
        <v>68</v>
      </c>
      <c r="D13" s="3" t="s">
        <v>76</v>
      </c>
      <c r="E13" s="3" t="s">
        <v>73</v>
      </c>
      <c r="F13" s="3" t="s">
        <v>52</v>
      </c>
      <c r="G13" s="7">
        <v>0</v>
      </c>
      <c r="H13" s="7">
        <v>4491171.9200000009</v>
      </c>
      <c r="I13" s="7">
        <v>8227534.7700000005</v>
      </c>
      <c r="J13" s="7">
        <v>8752061.1799999978</v>
      </c>
      <c r="K13" s="7">
        <f>VLOOKUP(B13,[2]Summary!$V:$W,2,FALSE)</f>
        <v>2146223.4900000002</v>
      </c>
      <c r="L13" s="8">
        <f t="shared" si="0"/>
        <v>23616991.359999999</v>
      </c>
      <c r="P13" s="4" t="s">
        <v>68</v>
      </c>
      <c r="Q13" s="12">
        <v>4491171.9200000009</v>
      </c>
    </row>
    <row r="14" spans="1:18" x14ac:dyDescent="0.3">
      <c r="A14" s="3">
        <v>13</v>
      </c>
      <c r="B14" s="3" t="s">
        <v>69</v>
      </c>
      <c r="C14" s="3" t="s">
        <v>70</v>
      </c>
      <c r="D14" s="3" t="s">
        <v>76</v>
      </c>
      <c r="E14" s="3" t="s">
        <v>74</v>
      </c>
      <c r="F14" s="3" t="s">
        <v>52</v>
      </c>
      <c r="G14" s="7">
        <v>2991876.0100000007</v>
      </c>
      <c r="H14" s="7">
        <v>9528766.3099999987</v>
      </c>
      <c r="I14" s="7">
        <v>12663295.899999999</v>
      </c>
      <c r="J14" s="7">
        <v>10640873.5</v>
      </c>
      <c r="K14" s="7">
        <f>VLOOKUP(B14,[2]Summary!$V:$W,2,FALSE)</f>
        <v>5051264.07</v>
      </c>
      <c r="L14" s="8">
        <f t="shared" si="0"/>
        <v>40876075.789999999</v>
      </c>
      <c r="P14" s="4" t="s">
        <v>70</v>
      </c>
      <c r="Q14" s="12">
        <v>9528766.3099999987</v>
      </c>
    </row>
    <row r="15" spans="1:18" x14ac:dyDescent="0.3">
      <c r="A15" s="3">
        <v>14</v>
      </c>
      <c r="B15" s="3" t="s">
        <v>71</v>
      </c>
      <c r="C15" s="3" t="s">
        <v>72</v>
      </c>
      <c r="D15" s="3" t="s">
        <v>76</v>
      </c>
      <c r="E15" s="3" t="s">
        <v>75</v>
      </c>
      <c r="F15" s="3" t="s">
        <v>52</v>
      </c>
      <c r="G15" s="7">
        <v>0</v>
      </c>
      <c r="H15" s="7">
        <v>0</v>
      </c>
      <c r="I15" s="7">
        <v>0</v>
      </c>
      <c r="J15" s="7">
        <v>10010854.040000001</v>
      </c>
      <c r="K15" s="7">
        <f>VLOOKUP(B15,[2]Summary!$V:$W,2,FALSE)</f>
        <v>2956462.39</v>
      </c>
      <c r="L15" s="8">
        <f t="shared" si="0"/>
        <v>12967316.430000002</v>
      </c>
      <c r="P15" s="4" t="s">
        <v>72</v>
      </c>
      <c r="Q15" s="12">
        <v>0</v>
      </c>
    </row>
    <row r="16" spans="1:18" x14ac:dyDescent="0.3">
      <c r="A16" s="3">
        <v>15</v>
      </c>
      <c r="B16" s="3" t="s">
        <v>11</v>
      </c>
      <c r="C16" s="3" t="s">
        <v>50</v>
      </c>
      <c r="D16" s="3" t="s">
        <v>20</v>
      </c>
      <c r="E16" s="3" t="s">
        <v>53</v>
      </c>
      <c r="F16" s="3" t="s">
        <v>52</v>
      </c>
      <c r="G16" s="7">
        <v>65353.65</v>
      </c>
      <c r="H16" s="7">
        <v>73727</v>
      </c>
      <c r="I16" s="7">
        <v>160600</v>
      </c>
      <c r="J16" s="7">
        <v>81767.72</v>
      </c>
      <c r="K16" s="7">
        <f>VLOOKUP(B16,[2]Summary!$V:$W,2,FALSE)</f>
        <v>0</v>
      </c>
      <c r="L16" s="8">
        <f t="shared" si="0"/>
        <v>381448.37</v>
      </c>
      <c r="P16" s="4" t="s">
        <v>50</v>
      </c>
      <c r="Q16" s="12">
        <v>73727</v>
      </c>
    </row>
    <row r="17" spans="1:18" x14ac:dyDescent="0.3">
      <c r="A17" s="3">
        <v>16</v>
      </c>
      <c r="B17" s="3" t="s">
        <v>14</v>
      </c>
      <c r="C17" s="3" t="s">
        <v>32</v>
      </c>
      <c r="D17" s="3" t="s">
        <v>20</v>
      </c>
      <c r="E17" s="3" t="s">
        <v>57</v>
      </c>
      <c r="F17" s="3" t="s">
        <v>52</v>
      </c>
      <c r="G17" s="7">
        <v>333518.21999999997</v>
      </c>
      <c r="H17" s="7">
        <v>708322.69</v>
      </c>
      <c r="I17" s="7">
        <v>2004322.26</v>
      </c>
      <c r="J17" s="7">
        <v>822828.57000000007</v>
      </c>
      <c r="K17" s="7">
        <f>VLOOKUP(B17,[2]Summary!$V:$W,2,FALSE)</f>
        <v>621018</v>
      </c>
      <c r="L17" s="8">
        <f t="shared" si="0"/>
        <v>4490009.74</v>
      </c>
      <c r="P17" s="4" t="s">
        <v>32</v>
      </c>
      <c r="Q17" s="12">
        <v>708322.69</v>
      </c>
    </row>
    <row r="18" spans="1:18" x14ac:dyDescent="0.3">
      <c r="A18" s="3">
        <v>17</v>
      </c>
      <c r="B18" s="3" t="s">
        <v>14</v>
      </c>
      <c r="C18" s="3" t="s">
        <v>32</v>
      </c>
      <c r="D18" s="3" t="s">
        <v>20</v>
      </c>
      <c r="E18" s="3" t="s">
        <v>55</v>
      </c>
      <c r="F18" s="3" t="s">
        <v>52</v>
      </c>
      <c r="G18" s="7">
        <v>333518.21999999997</v>
      </c>
      <c r="H18" s="7">
        <v>708322.69</v>
      </c>
      <c r="I18" s="7">
        <v>2004322.26</v>
      </c>
      <c r="J18" s="7">
        <v>822828.57000000007</v>
      </c>
      <c r="K18" s="7">
        <f>VLOOKUP(B18,[2]Summary!$V:$W,2,FALSE)</f>
        <v>621018</v>
      </c>
      <c r="L18" s="8">
        <f t="shared" si="0"/>
        <v>4490009.74</v>
      </c>
      <c r="P18" s="4" t="s">
        <v>32</v>
      </c>
      <c r="Q18" s="12">
        <v>708322.69</v>
      </c>
    </row>
    <row r="19" spans="1:18" x14ac:dyDescent="0.3">
      <c r="A19" s="3">
        <v>18</v>
      </c>
      <c r="B19" s="3" t="s">
        <v>17</v>
      </c>
      <c r="C19" s="3" t="s">
        <v>45</v>
      </c>
      <c r="D19" s="3" t="s">
        <v>20</v>
      </c>
      <c r="E19" s="3" t="s">
        <v>56</v>
      </c>
      <c r="F19" s="3" t="s">
        <v>52</v>
      </c>
      <c r="G19" s="7">
        <v>0</v>
      </c>
      <c r="H19" s="7">
        <v>39359.03</v>
      </c>
      <c r="I19" s="7">
        <v>0</v>
      </c>
      <c r="J19" s="7">
        <v>133582</v>
      </c>
      <c r="K19" s="7">
        <f>VLOOKUP(B19,[2]Summary!$V:$W,2,FALSE)</f>
        <v>137557.84</v>
      </c>
      <c r="L19" s="8">
        <f t="shared" si="0"/>
        <v>310498.87</v>
      </c>
      <c r="P19" s="4" t="s">
        <v>45</v>
      </c>
      <c r="Q19" s="12">
        <v>39359.03</v>
      </c>
    </row>
    <row r="20" spans="1:18" x14ac:dyDescent="0.3">
      <c r="A20" s="3">
        <v>19</v>
      </c>
      <c r="B20" s="3" t="s">
        <v>18</v>
      </c>
      <c r="C20" s="3" t="s">
        <v>36</v>
      </c>
      <c r="D20" s="3" t="s">
        <v>20</v>
      </c>
      <c r="E20" s="3" t="s">
        <v>56</v>
      </c>
      <c r="F20" s="3" t="s">
        <v>52</v>
      </c>
      <c r="G20" s="7">
        <v>0</v>
      </c>
      <c r="H20" s="7">
        <v>41125</v>
      </c>
      <c r="I20" s="7">
        <v>71260</v>
      </c>
      <c r="J20" s="7">
        <v>58072.46</v>
      </c>
      <c r="K20" s="7">
        <v>97635</v>
      </c>
      <c r="L20" s="8">
        <f t="shared" si="0"/>
        <v>268092.45999999996</v>
      </c>
      <c r="P20" s="4" t="s">
        <v>36</v>
      </c>
      <c r="Q20" s="12">
        <v>41125</v>
      </c>
    </row>
    <row r="21" spans="1:18" ht="28.8" x14ac:dyDescent="0.3">
      <c r="A21" s="3">
        <v>20</v>
      </c>
      <c r="B21" s="3" t="s">
        <v>19</v>
      </c>
      <c r="C21" s="5" t="s">
        <v>37</v>
      </c>
      <c r="D21" s="3" t="s">
        <v>20</v>
      </c>
      <c r="E21" s="3" t="s">
        <v>58</v>
      </c>
      <c r="F21" s="3" t="s">
        <v>52</v>
      </c>
      <c r="G21" s="7">
        <v>0</v>
      </c>
      <c r="H21" s="7">
        <v>0</v>
      </c>
      <c r="I21" s="7">
        <v>6443015.5199999996</v>
      </c>
      <c r="J21" s="7">
        <f>811187.53+7300688.47</f>
        <v>8111876</v>
      </c>
      <c r="K21" s="7">
        <f>VLOOKUP(B21,[2]Summary!$V:$W,2,FALSE)</f>
        <v>0</v>
      </c>
      <c r="L21" s="8">
        <f t="shared" si="0"/>
        <v>14554891.52</v>
      </c>
      <c r="P21" s="4" t="s">
        <v>37</v>
      </c>
      <c r="Q21" s="12">
        <v>0</v>
      </c>
    </row>
    <row r="22" spans="1:18" x14ac:dyDescent="0.3">
      <c r="A22" s="3">
        <v>21</v>
      </c>
      <c r="B22" s="3" t="s">
        <v>6</v>
      </c>
      <c r="C22" s="3" t="s">
        <v>34</v>
      </c>
      <c r="D22" s="3" t="s">
        <v>23</v>
      </c>
      <c r="E22" s="3" t="s">
        <v>59</v>
      </c>
      <c r="F22" s="3" t="s">
        <v>52</v>
      </c>
      <c r="G22" s="7">
        <v>511707.64000000007</v>
      </c>
      <c r="H22" s="7">
        <v>958752.4800000001</v>
      </c>
      <c r="I22" s="7">
        <v>1020353.930506988</v>
      </c>
      <c r="J22" s="7">
        <v>739392.10385077819</v>
      </c>
      <c r="K22" s="7">
        <f>VLOOKUP(B22,[2]Summary!$V:$W,2,FALSE)</f>
        <v>813642.55999999994</v>
      </c>
      <c r="L22" s="8">
        <f t="shared" si="0"/>
        <v>4043848.7143577663</v>
      </c>
      <c r="P22" s="4" t="s">
        <v>34</v>
      </c>
      <c r="Q22" s="12">
        <v>958752.4800000001</v>
      </c>
    </row>
    <row r="23" spans="1:18" x14ac:dyDescent="0.3">
      <c r="A23" s="3">
        <v>22</v>
      </c>
      <c r="B23" s="3" t="s">
        <v>7</v>
      </c>
      <c r="C23" s="3" t="s">
        <v>35</v>
      </c>
      <c r="D23" s="3" t="s">
        <v>23</v>
      </c>
      <c r="E23" s="3" t="s">
        <v>60</v>
      </c>
      <c r="F23" s="3" t="s">
        <v>52</v>
      </c>
      <c r="G23" s="7">
        <v>102341.53</v>
      </c>
      <c r="H23" s="7">
        <v>191750.5</v>
      </c>
      <c r="I23" s="7">
        <v>204070.79810139758</v>
      </c>
      <c r="J23" s="7">
        <v>147878.42276941356</v>
      </c>
      <c r="K23" s="7">
        <f>VLOOKUP(B23,[2]Summary!$V:$W,2,FALSE)</f>
        <v>162728.51999999999</v>
      </c>
      <c r="L23" s="8">
        <f t="shared" si="0"/>
        <v>808769.77087081119</v>
      </c>
      <c r="P23" s="4" t="s">
        <v>35</v>
      </c>
      <c r="Q23" s="12">
        <v>191750.5</v>
      </c>
    </row>
    <row r="24" spans="1:18" x14ac:dyDescent="0.3">
      <c r="A24" s="3">
        <v>23</v>
      </c>
      <c r="B24" s="3" t="s">
        <v>8</v>
      </c>
      <c r="C24" s="3" t="s">
        <v>42</v>
      </c>
      <c r="D24" s="3" t="s">
        <v>23</v>
      </c>
      <c r="E24" s="3" t="s">
        <v>53</v>
      </c>
      <c r="F24" s="3" t="s">
        <v>52</v>
      </c>
      <c r="G24" s="7">
        <v>15947463.100000001</v>
      </c>
      <c r="H24" s="7">
        <v>31945581.549999997</v>
      </c>
      <c r="I24" s="7">
        <v>28911762.392265823</v>
      </c>
      <c r="J24" s="7">
        <v>22596060.595873453</v>
      </c>
      <c r="K24" s="7">
        <f>VLOOKUP(B24,[2]Summary!$V:$W,2,FALSE)</f>
        <v>28820171.789999999</v>
      </c>
      <c r="L24" s="8">
        <f t="shared" si="0"/>
        <v>128221039.42813927</v>
      </c>
      <c r="P24" s="4" t="s">
        <v>42</v>
      </c>
      <c r="Q24" s="12">
        <v>31945581.549999997</v>
      </c>
    </row>
    <row r="25" spans="1:18" x14ac:dyDescent="0.3">
      <c r="A25" s="3">
        <v>24</v>
      </c>
      <c r="B25" s="3" t="s">
        <v>9</v>
      </c>
      <c r="C25" s="3" t="s">
        <v>30</v>
      </c>
      <c r="D25" s="3" t="s">
        <v>23</v>
      </c>
      <c r="E25" s="3" t="s">
        <v>61</v>
      </c>
      <c r="F25" s="3" t="s">
        <v>52</v>
      </c>
      <c r="G25" s="7">
        <v>9135068.9699999988</v>
      </c>
      <c r="H25" s="7">
        <v>17257544.640000001</v>
      </c>
      <c r="I25" s="7">
        <v>18366370.979125783</v>
      </c>
      <c r="J25" s="7">
        <v>13309058.019336274</v>
      </c>
      <c r="K25" s="7">
        <f>VLOOKUP(B25,[2]Summary!$V:$W,2,FALSE)</f>
        <v>14645565.84</v>
      </c>
      <c r="L25" s="8">
        <f t="shared" si="0"/>
        <v>72713608.448462054</v>
      </c>
      <c r="P25" s="4" t="s">
        <v>30</v>
      </c>
      <c r="Q25" s="12">
        <v>17257544.640000001</v>
      </c>
    </row>
    <row r="26" spans="1:18" x14ac:dyDescent="0.3">
      <c r="A26" s="3">
        <v>25</v>
      </c>
      <c r="B26" s="3" t="s">
        <v>12</v>
      </c>
      <c r="C26" s="3" t="s">
        <v>43</v>
      </c>
      <c r="D26" s="3" t="s">
        <v>24</v>
      </c>
      <c r="E26" s="3" t="s">
        <v>53</v>
      </c>
      <c r="F26" s="3" t="s">
        <v>52</v>
      </c>
      <c r="G26" s="7">
        <v>2335795.66</v>
      </c>
      <c r="H26" s="7">
        <v>4477049.5200000005</v>
      </c>
      <c r="I26" s="7">
        <v>6560310.9099999992</v>
      </c>
      <c r="J26" s="7">
        <v>4805254.42</v>
      </c>
      <c r="K26" s="7">
        <f>VLOOKUP(B26,[2]Summary!$V:$W,2,FALSE)</f>
        <v>1397546.4500000002</v>
      </c>
      <c r="L26" s="8">
        <f t="shared" si="0"/>
        <v>19575956.959999997</v>
      </c>
      <c r="P26" s="4" t="s">
        <v>43</v>
      </c>
      <c r="Q26" s="12">
        <v>4477049.5200000005</v>
      </c>
    </row>
    <row r="27" spans="1:18" x14ac:dyDescent="0.3">
      <c r="A27" s="3">
        <v>26</v>
      </c>
      <c r="B27" s="3" t="s">
        <v>15</v>
      </c>
      <c r="C27" s="3" t="s">
        <v>33</v>
      </c>
      <c r="D27" s="3" t="s">
        <v>21</v>
      </c>
      <c r="E27" s="3" t="s">
        <v>53</v>
      </c>
      <c r="F27" s="3" t="s">
        <v>52</v>
      </c>
      <c r="G27" s="7">
        <v>1135876.19</v>
      </c>
      <c r="H27" s="7">
        <v>2194451.6800000002</v>
      </c>
      <c r="I27" s="7">
        <v>5034858.53</v>
      </c>
      <c r="J27" s="7">
        <v>1430554.6502968459</v>
      </c>
      <c r="K27" s="7">
        <f>VLOOKUP(B27,[2]Summary!$V:$W,2,FALSE)</f>
        <v>990790.88</v>
      </c>
      <c r="L27" s="8">
        <f t="shared" si="0"/>
        <v>10786531.930296848</v>
      </c>
      <c r="P27" s="4" t="s">
        <v>33</v>
      </c>
      <c r="Q27" s="12">
        <v>2194451.6800000002</v>
      </c>
    </row>
    <row r="28" spans="1:18" x14ac:dyDescent="0.3">
      <c r="A28" s="3">
        <v>27</v>
      </c>
      <c r="B28" s="3" t="s">
        <v>13</v>
      </c>
      <c r="C28" s="3" t="s">
        <v>48</v>
      </c>
      <c r="D28" s="3" t="s">
        <v>49</v>
      </c>
      <c r="E28" s="3" t="s">
        <v>56</v>
      </c>
      <c r="F28" s="3" t="s">
        <v>52</v>
      </c>
      <c r="G28" s="7">
        <v>2700</v>
      </c>
      <c r="H28" s="7">
        <v>0</v>
      </c>
      <c r="I28" s="7">
        <v>0</v>
      </c>
      <c r="J28" s="7">
        <v>0</v>
      </c>
      <c r="K28" s="7">
        <f>VLOOKUP(B28,[2]Summary!$V:$W,2,FALSE)</f>
        <v>0</v>
      </c>
      <c r="L28" s="8">
        <f t="shared" si="0"/>
        <v>2700</v>
      </c>
      <c r="P28" s="4" t="s">
        <v>48</v>
      </c>
      <c r="Q28" s="12">
        <v>0</v>
      </c>
    </row>
    <row r="29" spans="1:18" s="2" customFormat="1" x14ac:dyDescent="0.3">
      <c r="A29" s="1"/>
      <c r="B29" s="1" t="s">
        <v>46</v>
      </c>
      <c r="C29" s="1"/>
      <c r="D29" s="1"/>
      <c r="E29" s="1"/>
      <c r="F29" s="3" t="s">
        <v>52</v>
      </c>
      <c r="G29" s="8">
        <f>SUM(G2:G28)</f>
        <v>53311018.179999992</v>
      </c>
      <c r="H29" s="8">
        <f>SUM(H2:H28)</f>
        <v>148981983.94000003</v>
      </c>
      <c r="I29" s="8">
        <f t="shared" ref="I29:J29" si="1">SUM(I2:I28)</f>
        <v>196984378.5</v>
      </c>
      <c r="J29" s="8">
        <f t="shared" si="1"/>
        <v>394572051.45212692</v>
      </c>
      <c r="K29" s="8">
        <f>SUM(K2:K28)</f>
        <v>105110566.92000002</v>
      </c>
      <c r="L29" s="8">
        <f>SUM(L2:L28)</f>
        <v>898959998.9921267</v>
      </c>
      <c r="Q29" s="11">
        <v>148981983.94000003</v>
      </c>
      <c r="R29" s="11"/>
    </row>
    <row r="31" spans="1:18" x14ac:dyDescent="0.3">
      <c r="G31" s="13"/>
      <c r="H31" s="13"/>
      <c r="I31" s="13"/>
      <c r="J31" s="13"/>
      <c r="K31" s="13"/>
      <c r="L31" s="14"/>
    </row>
    <row r="32" spans="1:18" x14ac:dyDescent="0.3">
      <c r="G32" s="13"/>
      <c r="H32" s="13"/>
      <c r="I32" s="13"/>
      <c r="J32" s="13"/>
      <c r="K32" s="13"/>
      <c r="L32" s="14"/>
      <c r="Q32" s="12">
        <v>148982983.93999997</v>
      </c>
    </row>
    <row r="33" spans="7:17" x14ac:dyDescent="0.3">
      <c r="G33" s="13"/>
      <c r="H33" s="13"/>
      <c r="I33" s="13"/>
      <c r="J33" s="13"/>
      <c r="K33" s="13"/>
      <c r="L33" s="14"/>
    </row>
    <row r="34" spans="7:17" x14ac:dyDescent="0.3">
      <c r="G34" s="13"/>
      <c r="H34" s="13"/>
      <c r="I34" s="13"/>
      <c r="J34" s="13"/>
      <c r="K34" s="13"/>
      <c r="L34" s="14"/>
      <c r="Q34" s="12">
        <v>-999.99999994039536</v>
      </c>
    </row>
    <row r="36" spans="7:17" x14ac:dyDescent="0.3">
      <c r="H36"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Summary2021-2026</vt:lpstr>
      <vt:lpstr>Monthly mvt2026</vt:lpstr>
      <vt:lpstr>Data</vt:lpstr>
    </vt:vector>
  </TitlesOfParts>
  <Company>GMM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Mukini</dc:creator>
  <cp:lastModifiedBy>Gerard Kamanda</cp:lastModifiedBy>
  <cp:lastPrinted>2026-05-26T06:41:08Z</cp:lastPrinted>
  <dcterms:created xsi:type="dcterms:W3CDTF">2024-07-03T05:18:26Z</dcterms:created>
  <dcterms:modified xsi:type="dcterms:W3CDTF">2026-05-27T16:00:09Z</dcterms:modified>
</cp:coreProperties>
</file>